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ledaorg.sharepoint.com/LEDA/Business Intelligence/Department/Statistics/Retail Sales/"/>
    </mc:Choice>
  </mc:AlternateContent>
  <xr:revisionPtr revIDLastSave="4233" documentId="13_ncr:1_{A3AFEA09-193D-43F4-816A-104C440A9768}" xr6:coauthVersionLast="47" xr6:coauthVersionMax="47" xr10:uidLastSave="{7C7340DC-CC32-4DC1-B85A-8C79EBD05F6F}"/>
  <bookViews>
    <workbookView xWindow="18570" yWindow="-20145" windowWidth="29220" windowHeight="18885" tabRatio="860" xr2:uid="{00000000-000D-0000-FFFF-FFFF00000000}"/>
  </bookViews>
  <sheets>
    <sheet name="Lafayette Parish Retail Sales" sheetId="1" r:id="rId1"/>
    <sheet name="City of Lafayette by Category" sheetId="4" r:id="rId2"/>
    <sheet name="Pastelinks" sheetId="2" r:id="rId3"/>
    <sheet name="Category Descriptions" sheetId="5" r:id="rId4"/>
    <sheet name="Source" sheetId="3" r:id="rId5"/>
    <sheet name="Food - City" sheetId="6" r:id="rId6"/>
    <sheet name="Apparel - City" sheetId="7" r:id="rId7"/>
    <sheet name="Gen. Merchandise - City" sheetId="8" r:id="rId8"/>
    <sheet name="Automotive - City" sheetId="10" r:id="rId9"/>
    <sheet name="Home Furnishings - City" sheetId="11" r:id="rId10"/>
    <sheet name="Building Materials - City" sheetId="12" r:id="rId11"/>
    <sheet name="Services - City" sheetId="13" r:id="rId12"/>
    <sheet name="Manufacturing - City" sheetId="14" r:id="rId13"/>
    <sheet name="Utilities - City" sheetId="15" r:id="rId14"/>
    <sheet name="Miscellaneous - City" sheetId="16"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8" i="16" l="1"/>
  <c r="E208" i="16"/>
  <c r="F208" i="16"/>
  <c r="G208" i="16"/>
  <c r="H208" i="16"/>
  <c r="I208" i="16"/>
  <c r="J208" i="16"/>
  <c r="K208" i="16"/>
  <c r="C208" i="16"/>
  <c r="B208" i="16"/>
  <c r="D207" i="16"/>
  <c r="E207" i="16"/>
  <c r="F207" i="16"/>
  <c r="G207" i="16"/>
  <c r="H207" i="16"/>
  <c r="I207" i="16"/>
  <c r="J207" i="16"/>
  <c r="K207" i="16"/>
  <c r="C207" i="16"/>
  <c r="B207" i="16"/>
  <c r="D202" i="16"/>
  <c r="E202" i="16"/>
  <c r="F202" i="16"/>
  <c r="G202" i="16"/>
  <c r="H202" i="16"/>
  <c r="I202" i="16"/>
  <c r="J202" i="16"/>
  <c r="K202" i="16"/>
  <c r="B203" i="16"/>
  <c r="B204" i="16" s="1"/>
  <c r="C203" i="16"/>
  <c r="C204" i="16" s="1"/>
  <c r="C202" i="16"/>
  <c r="B202" i="16"/>
  <c r="D208" i="15"/>
  <c r="E208" i="15"/>
  <c r="F208" i="15"/>
  <c r="G208" i="15"/>
  <c r="H208" i="15"/>
  <c r="C208" i="15"/>
  <c r="B208" i="15"/>
  <c r="D207" i="15"/>
  <c r="E207" i="15"/>
  <c r="F207" i="15"/>
  <c r="G207" i="15"/>
  <c r="H207" i="15"/>
  <c r="C207" i="15"/>
  <c r="B207" i="15"/>
  <c r="D202" i="15"/>
  <c r="E202" i="15"/>
  <c r="F202" i="15"/>
  <c r="G202" i="15"/>
  <c r="H202" i="15"/>
  <c r="C202" i="15"/>
  <c r="B202" i="15"/>
  <c r="D208" i="14"/>
  <c r="E208" i="14"/>
  <c r="F208" i="14"/>
  <c r="G208" i="14"/>
  <c r="H208" i="14"/>
  <c r="C208" i="14"/>
  <c r="B208" i="14"/>
  <c r="D207" i="14"/>
  <c r="E207" i="14"/>
  <c r="F207" i="14"/>
  <c r="G207" i="14"/>
  <c r="H207" i="14"/>
  <c r="C207" i="14"/>
  <c r="B207" i="14"/>
  <c r="D202" i="14"/>
  <c r="E202" i="14"/>
  <c r="F202" i="14"/>
  <c r="G202" i="14"/>
  <c r="H202" i="14"/>
  <c r="C202" i="14"/>
  <c r="B202" i="14"/>
  <c r="D208" i="13"/>
  <c r="E208" i="13"/>
  <c r="F208" i="13"/>
  <c r="G208" i="13"/>
  <c r="H208" i="13"/>
  <c r="I208" i="13"/>
  <c r="J208" i="13"/>
  <c r="K208" i="13"/>
  <c r="L208" i="13"/>
  <c r="C208" i="13"/>
  <c r="B208" i="13"/>
  <c r="D207" i="13"/>
  <c r="E207" i="13"/>
  <c r="F207" i="13"/>
  <c r="G207" i="13"/>
  <c r="H207" i="13"/>
  <c r="I207" i="13"/>
  <c r="J207" i="13"/>
  <c r="K207" i="13"/>
  <c r="L207" i="13"/>
  <c r="C207" i="13"/>
  <c r="B207" i="13"/>
  <c r="D202" i="13"/>
  <c r="E202" i="13"/>
  <c r="F202" i="13"/>
  <c r="G202" i="13"/>
  <c r="H202" i="13"/>
  <c r="I202" i="13"/>
  <c r="J202" i="13"/>
  <c r="K202" i="13"/>
  <c r="L202" i="13"/>
  <c r="B202" i="13"/>
  <c r="C202" i="13"/>
  <c r="D208" i="12"/>
  <c r="E208" i="12"/>
  <c r="F208" i="12"/>
  <c r="G208" i="12"/>
  <c r="H208" i="12"/>
  <c r="I208" i="12"/>
  <c r="J208" i="12"/>
  <c r="K208" i="12"/>
  <c r="L208" i="12"/>
  <c r="B208" i="12"/>
  <c r="C208" i="12"/>
  <c r="D207" i="12"/>
  <c r="E207" i="12"/>
  <c r="F207" i="12"/>
  <c r="G207" i="12"/>
  <c r="H207" i="12"/>
  <c r="I207" i="12"/>
  <c r="J207" i="12"/>
  <c r="K207" i="12"/>
  <c r="L207" i="12"/>
  <c r="B207" i="12"/>
  <c r="C207" i="12"/>
  <c r="D202" i="12"/>
  <c r="E202" i="12"/>
  <c r="F202" i="12"/>
  <c r="G202" i="12"/>
  <c r="H202" i="12"/>
  <c r="I202" i="12"/>
  <c r="J202" i="12"/>
  <c r="K202" i="12"/>
  <c r="L202" i="12"/>
  <c r="B202" i="12"/>
  <c r="C202" i="12"/>
  <c r="D208" i="11"/>
  <c r="E208" i="11"/>
  <c r="F208" i="11"/>
  <c r="G208" i="11"/>
  <c r="H208" i="11"/>
  <c r="I208" i="11"/>
  <c r="J208" i="11"/>
  <c r="K208" i="11"/>
  <c r="L208" i="11"/>
  <c r="B208" i="11"/>
  <c r="C208" i="11"/>
  <c r="D207" i="11"/>
  <c r="E207" i="11"/>
  <c r="F207" i="11"/>
  <c r="G207" i="11"/>
  <c r="H207" i="11"/>
  <c r="I207" i="11"/>
  <c r="J207" i="11"/>
  <c r="K207" i="11"/>
  <c r="L207" i="11"/>
  <c r="B207" i="11"/>
  <c r="C207" i="11"/>
  <c r="D202" i="11"/>
  <c r="E202" i="11"/>
  <c r="F202" i="11"/>
  <c r="G202" i="11"/>
  <c r="H202" i="11"/>
  <c r="I202" i="11"/>
  <c r="J202" i="11"/>
  <c r="K202" i="11"/>
  <c r="L202" i="11"/>
  <c r="C202" i="11"/>
  <c r="B202" i="11"/>
  <c r="D208" i="10"/>
  <c r="E208" i="10"/>
  <c r="F208" i="10"/>
  <c r="G208" i="10"/>
  <c r="H208" i="10"/>
  <c r="I208" i="10"/>
  <c r="J208" i="10"/>
  <c r="K208" i="10"/>
  <c r="L208" i="10"/>
  <c r="C208" i="10"/>
  <c r="B208" i="10"/>
  <c r="D207" i="10"/>
  <c r="E207" i="10"/>
  <c r="F207" i="10"/>
  <c r="G207" i="10"/>
  <c r="H207" i="10"/>
  <c r="I207" i="10"/>
  <c r="J207" i="10"/>
  <c r="K207" i="10"/>
  <c r="L207" i="10"/>
  <c r="C207" i="10"/>
  <c r="B207" i="10"/>
  <c r="D202" i="10"/>
  <c r="E202" i="10"/>
  <c r="F202" i="10"/>
  <c r="G202" i="10"/>
  <c r="H202" i="10"/>
  <c r="I202" i="10"/>
  <c r="J202" i="10"/>
  <c r="K202" i="10"/>
  <c r="L202" i="10"/>
  <c r="C202" i="10"/>
  <c r="B202" i="10"/>
  <c r="D208" i="8"/>
  <c r="E208" i="8"/>
  <c r="F208" i="8"/>
  <c r="G208" i="8"/>
  <c r="H208" i="8"/>
  <c r="I208" i="8"/>
  <c r="J208" i="8"/>
  <c r="K208" i="8"/>
  <c r="L208" i="8"/>
  <c r="B208" i="8"/>
  <c r="C208" i="8"/>
  <c r="D207" i="8"/>
  <c r="E207" i="8"/>
  <c r="F207" i="8"/>
  <c r="G207" i="8"/>
  <c r="H207" i="8"/>
  <c r="I207" i="8"/>
  <c r="J207" i="8"/>
  <c r="K207" i="8"/>
  <c r="L207" i="8"/>
  <c r="C207" i="8"/>
  <c r="B207" i="8"/>
  <c r="D202" i="8"/>
  <c r="E202" i="8"/>
  <c r="F202" i="8"/>
  <c r="G202" i="8"/>
  <c r="H202" i="8"/>
  <c r="I202" i="8"/>
  <c r="J202" i="8"/>
  <c r="K202" i="8"/>
  <c r="L202" i="8"/>
  <c r="B202" i="8"/>
  <c r="C202" i="8"/>
  <c r="D208" i="7"/>
  <c r="E208" i="7"/>
  <c r="F208" i="7"/>
  <c r="G208" i="7"/>
  <c r="H208" i="7"/>
  <c r="I208" i="7"/>
  <c r="C208" i="7"/>
  <c r="B208" i="7"/>
  <c r="D207" i="7"/>
  <c r="E207" i="7"/>
  <c r="F207" i="7"/>
  <c r="G207" i="7"/>
  <c r="H207" i="7"/>
  <c r="I207" i="7"/>
  <c r="C207" i="7"/>
  <c r="B207" i="7"/>
  <c r="D202" i="7"/>
  <c r="E202" i="7"/>
  <c r="F202" i="7"/>
  <c r="G202" i="7"/>
  <c r="H202" i="7"/>
  <c r="I202" i="7"/>
  <c r="C202" i="7"/>
  <c r="B202" i="7"/>
  <c r="D208" i="6"/>
  <c r="E208" i="6"/>
  <c r="F208" i="6"/>
  <c r="G208" i="6"/>
  <c r="H208" i="6"/>
  <c r="I208" i="6"/>
  <c r="J208" i="6"/>
  <c r="K208" i="6"/>
  <c r="C208" i="6"/>
  <c r="B208" i="6"/>
  <c r="D207" i="6"/>
  <c r="E207" i="6"/>
  <c r="F207" i="6"/>
  <c r="G207" i="6"/>
  <c r="H207" i="6"/>
  <c r="I207" i="6"/>
  <c r="J207" i="6"/>
  <c r="K207" i="6"/>
  <c r="B207" i="6"/>
  <c r="C207" i="6"/>
  <c r="D202" i="6"/>
  <c r="E202" i="6"/>
  <c r="F202" i="6"/>
  <c r="G202" i="6"/>
  <c r="H202" i="6"/>
  <c r="I202" i="6"/>
  <c r="J202" i="6"/>
  <c r="K202" i="6"/>
  <c r="C202" i="6"/>
  <c r="B202" i="6"/>
  <c r="D208" i="4"/>
  <c r="E208" i="4"/>
  <c r="F208" i="4"/>
  <c r="G208" i="4"/>
  <c r="H208" i="4"/>
  <c r="I208" i="4"/>
  <c r="J208" i="4"/>
  <c r="C208" i="4"/>
  <c r="B208" i="4"/>
  <c r="D207" i="4"/>
  <c r="E207" i="4"/>
  <c r="F207" i="4"/>
  <c r="G207" i="4"/>
  <c r="H207" i="4"/>
  <c r="I207" i="4"/>
  <c r="J207" i="4"/>
  <c r="B207" i="4"/>
  <c r="C207" i="4"/>
  <c r="D202" i="4"/>
  <c r="E202" i="4"/>
  <c r="F202" i="4"/>
  <c r="G202" i="4"/>
  <c r="H202" i="4"/>
  <c r="I202" i="4"/>
  <c r="J202" i="4"/>
  <c r="B202" i="4"/>
  <c r="C202" i="4"/>
  <c r="L181" i="4"/>
  <c r="M181" i="4"/>
  <c r="N181" i="4"/>
  <c r="O181" i="4"/>
  <c r="P181" i="4"/>
  <c r="Q181" i="4"/>
  <c r="R181" i="4"/>
  <c r="S181" i="4"/>
  <c r="L180" i="4"/>
  <c r="B181" i="4"/>
  <c r="B179" i="4"/>
  <c r="D402" i="1" l="1"/>
  <c r="E402" i="1"/>
  <c r="F402" i="1"/>
  <c r="G402" i="1"/>
  <c r="H402" i="1"/>
  <c r="I402" i="1"/>
  <c r="C402" i="1"/>
  <c r="B402" i="1"/>
  <c r="D401" i="1"/>
  <c r="E401" i="1"/>
  <c r="F401" i="1"/>
  <c r="G401" i="1"/>
  <c r="H401" i="1"/>
  <c r="I401" i="1"/>
  <c r="C401" i="1"/>
  <c r="B401" i="1"/>
  <c r="D400" i="1"/>
  <c r="E400" i="1"/>
  <c r="F400" i="1"/>
  <c r="G400" i="1"/>
  <c r="H400" i="1"/>
  <c r="I400" i="1"/>
  <c r="C400" i="1"/>
  <c r="B400" i="1"/>
  <c r="D393" i="1"/>
  <c r="E393" i="1"/>
  <c r="F393" i="1"/>
  <c r="G393" i="1"/>
  <c r="H393" i="1"/>
  <c r="I393" i="1"/>
  <c r="D392" i="1"/>
  <c r="E392" i="1"/>
  <c r="F392" i="1"/>
  <c r="G392" i="1"/>
  <c r="H392" i="1"/>
  <c r="I392" i="1"/>
  <c r="B393" i="1"/>
  <c r="B395" i="1" s="1"/>
  <c r="C393" i="1"/>
  <c r="C395" i="1" s="1"/>
  <c r="B394" i="1"/>
  <c r="B396" i="1" s="1"/>
  <c r="C394" i="1"/>
  <c r="C396" i="1" s="1"/>
  <c r="B397" i="1"/>
  <c r="C397" i="1"/>
  <c r="C392" i="1"/>
  <c r="B392" i="1"/>
  <c r="B337" i="1"/>
  <c r="K337" i="1" s="1"/>
  <c r="L180" i="11"/>
  <c r="L180" i="10"/>
  <c r="L180" i="8"/>
  <c r="L177" i="8"/>
  <c r="I180" i="7"/>
  <c r="K180" i="6"/>
  <c r="S180" i="4"/>
  <c r="B180" i="4"/>
  <c r="M180" i="4" s="1"/>
  <c r="Q337" i="1" l="1"/>
  <c r="P337" i="1"/>
  <c r="O337" i="1"/>
  <c r="M337" i="1"/>
  <c r="N337" i="1"/>
  <c r="L337" i="1"/>
  <c r="R180" i="4"/>
  <c r="Q180" i="4"/>
  <c r="P180" i="4"/>
  <c r="O180" i="4"/>
  <c r="N180" i="4"/>
  <c r="K335" i="1" l="1"/>
  <c r="L335" i="1"/>
  <c r="M335" i="1"/>
  <c r="N335" i="1"/>
  <c r="O335" i="1"/>
  <c r="P335" i="1"/>
  <c r="Q335" i="1"/>
  <c r="K336" i="1"/>
  <c r="L336" i="1"/>
  <c r="M336" i="1"/>
  <c r="N336" i="1"/>
  <c r="O336" i="1"/>
  <c r="P336" i="1"/>
  <c r="Q336" i="1"/>
  <c r="K333" i="1"/>
  <c r="L179" i="12"/>
  <c r="L179" i="11"/>
  <c r="L179" i="10"/>
  <c r="L177" i="10"/>
  <c r="L179" i="8"/>
  <c r="B209" i="7"/>
  <c r="C209" i="7"/>
  <c r="I179" i="7"/>
  <c r="K179" i="6"/>
  <c r="K177" i="6"/>
  <c r="S179" i="4"/>
  <c r="L179" i="4"/>
  <c r="B178" i="4"/>
  <c r="R179" i="4" l="1"/>
  <c r="Q179" i="4"/>
  <c r="O179" i="4"/>
  <c r="P179" i="4"/>
  <c r="N179" i="4"/>
  <c r="M179" i="4"/>
  <c r="B335" i="1" l="1"/>
  <c r="B333" i="1"/>
  <c r="B336" i="1"/>
  <c r="L178" i="11"/>
  <c r="L178" i="10"/>
  <c r="B209" i="8"/>
  <c r="C209" i="8"/>
  <c r="B203" i="8"/>
  <c r="B204" i="8" s="1"/>
  <c r="C203" i="8"/>
  <c r="C204" i="8" s="1"/>
  <c r="L178" i="8"/>
  <c r="I178" i="7"/>
  <c r="K178" i="6"/>
  <c r="M178" i="4"/>
  <c r="N178" i="4"/>
  <c r="O178" i="4"/>
  <c r="P178" i="4"/>
  <c r="Q178" i="4"/>
  <c r="R178" i="4"/>
  <c r="S178" i="4"/>
  <c r="L178" i="4"/>
  <c r="L177" i="11" l="1"/>
  <c r="I177" i="7"/>
  <c r="M177" i="4"/>
  <c r="N177" i="4"/>
  <c r="O177" i="4"/>
  <c r="P177" i="4"/>
  <c r="Q177" i="4"/>
  <c r="R177" i="4"/>
  <c r="S177" i="4"/>
  <c r="B177" i="4"/>
  <c r="L177" i="4" s="1"/>
  <c r="L176" i="11"/>
  <c r="L176" i="10"/>
  <c r="L176" i="8"/>
  <c r="I176" i="7"/>
  <c r="K176" i="6"/>
  <c r="B176" i="4"/>
  <c r="L176" i="4" s="1"/>
  <c r="S176" i="4" l="1"/>
  <c r="R176" i="4"/>
  <c r="Q176" i="4"/>
  <c r="P176" i="4"/>
  <c r="O176" i="4"/>
  <c r="N176" i="4"/>
  <c r="M176" i="4"/>
  <c r="L175" i="11" l="1"/>
  <c r="L175" i="10"/>
  <c r="L175" i="8"/>
  <c r="I175" i="7"/>
  <c r="I173" i="7"/>
  <c r="K175" i="6"/>
  <c r="B175" i="4"/>
  <c r="L175" i="4" s="1"/>
  <c r="S175" i="4" l="1"/>
  <c r="R175" i="4"/>
  <c r="Q175" i="4"/>
  <c r="P175" i="4"/>
  <c r="O175" i="4"/>
  <c r="N175" i="4"/>
  <c r="M175" i="4"/>
  <c r="B331" i="1" l="1"/>
  <c r="K331" i="1" s="1"/>
  <c r="B332" i="1"/>
  <c r="Q332" i="1" s="1"/>
  <c r="Q333" i="1"/>
  <c r="B334" i="1"/>
  <c r="Q334" i="1" s="1"/>
  <c r="O334" i="1" l="1"/>
  <c r="P334" i="1"/>
  <c r="M334" i="1"/>
  <c r="N334" i="1"/>
  <c r="K334" i="1"/>
  <c r="L334" i="1"/>
  <c r="O333" i="1"/>
  <c r="P333" i="1"/>
  <c r="M333" i="1"/>
  <c r="N333" i="1"/>
  <c r="L333" i="1"/>
  <c r="O332" i="1"/>
  <c r="P332" i="1"/>
  <c r="M332" i="1"/>
  <c r="N332" i="1"/>
  <c r="K332" i="1"/>
  <c r="L332" i="1"/>
  <c r="Q331" i="1"/>
  <c r="P331" i="1"/>
  <c r="O331" i="1"/>
  <c r="N331" i="1"/>
  <c r="M331" i="1"/>
  <c r="L331" i="1"/>
  <c r="K174" i="16" l="1"/>
  <c r="K175" i="16"/>
  <c r="K176" i="16"/>
  <c r="K177" i="16"/>
  <c r="K178" i="16"/>
  <c r="K179" i="16"/>
  <c r="K180" i="16"/>
  <c r="H174" i="15"/>
  <c r="H175" i="15"/>
  <c r="H176" i="15"/>
  <c r="H177" i="15"/>
  <c r="H178" i="15"/>
  <c r="H179" i="15"/>
  <c r="H180" i="15"/>
  <c r="H174" i="14"/>
  <c r="H175" i="14"/>
  <c r="H176" i="14"/>
  <c r="H177" i="14"/>
  <c r="H178" i="14"/>
  <c r="H179" i="14"/>
  <c r="H180" i="14"/>
  <c r="L174" i="13"/>
  <c r="L175" i="13"/>
  <c r="L176" i="13"/>
  <c r="L177" i="13"/>
  <c r="L178" i="13"/>
  <c r="L179" i="13"/>
  <c r="L180" i="13"/>
  <c r="B209" i="11"/>
  <c r="C209" i="11"/>
  <c r="L174" i="11"/>
  <c r="L174" i="10"/>
  <c r="L174" i="8"/>
  <c r="I174" i="7"/>
  <c r="I209" i="6"/>
  <c r="J209" i="6"/>
  <c r="K174" i="6"/>
  <c r="B174" i="4"/>
  <c r="L174" i="4" s="1"/>
  <c r="S174" i="4" l="1"/>
  <c r="R174" i="4"/>
  <c r="Q174" i="4"/>
  <c r="P174" i="4"/>
  <c r="O174" i="4"/>
  <c r="N174" i="4"/>
  <c r="M174" i="4"/>
  <c r="B330" i="1" l="1"/>
  <c r="K330" i="1" s="1"/>
  <c r="K173" i="16"/>
  <c r="B209" i="15"/>
  <c r="C209" i="15"/>
  <c r="H173" i="15"/>
  <c r="H173" i="14"/>
  <c r="L173" i="13"/>
  <c r="L173" i="12"/>
  <c r="L174" i="12"/>
  <c r="L175" i="12"/>
  <c r="L176" i="12"/>
  <c r="L177" i="12"/>
  <c r="L178" i="12"/>
  <c r="L180" i="12"/>
  <c r="L173" i="11"/>
  <c r="L173" i="10"/>
  <c r="L173" i="8"/>
  <c r="H173" i="7"/>
  <c r="K173" i="6"/>
  <c r="J173" i="6"/>
  <c r="M173" i="4"/>
  <c r="N173" i="4"/>
  <c r="O173" i="4"/>
  <c r="P173" i="4"/>
  <c r="Q173" i="4"/>
  <c r="R173" i="4"/>
  <c r="S173" i="4"/>
  <c r="B173" i="4"/>
  <c r="L173" i="4" s="1"/>
  <c r="Q330" i="1" l="1"/>
  <c r="P330" i="1"/>
  <c r="O330" i="1"/>
  <c r="N330" i="1"/>
  <c r="M330" i="1"/>
  <c r="L330" i="1"/>
  <c r="B329" i="1"/>
  <c r="K329" i="1" s="1"/>
  <c r="M319" i="1"/>
  <c r="K172" i="16"/>
  <c r="J172" i="16"/>
  <c r="H172" i="15"/>
  <c r="G172" i="15"/>
  <c r="H172" i="14"/>
  <c r="G172" i="14"/>
  <c r="L172" i="13"/>
  <c r="L172" i="12"/>
  <c r="L172" i="11"/>
  <c r="L172" i="10"/>
  <c r="K172" i="10"/>
  <c r="B172" i="10"/>
  <c r="L172" i="8"/>
  <c r="I172" i="7"/>
  <c r="H172" i="7"/>
  <c r="K172" i="6"/>
  <c r="J172" i="6"/>
  <c r="Q329" i="1" l="1"/>
  <c r="P329" i="1"/>
  <c r="O329" i="1"/>
  <c r="N329" i="1"/>
  <c r="L329" i="1"/>
  <c r="M329" i="1"/>
  <c r="B172" i="4"/>
  <c r="R172" i="4" l="1"/>
  <c r="S172" i="4"/>
  <c r="P172" i="4"/>
  <c r="Q172" i="4"/>
  <c r="N172" i="4"/>
  <c r="O172" i="4"/>
  <c r="L172" i="4"/>
  <c r="M172" i="4"/>
  <c r="I395" i="1" l="1"/>
  <c r="K328" i="1"/>
  <c r="B328" i="1"/>
  <c r="L328" i="1" s="1"/>
  <c r="D395" i="1"/>
  <c r="E395" i="1"/>
  <c r="F395" i="1"/>
  <c r="G395" i="1"/>
  <c r="H395" i="1"/>
  <c r="K171" i="16"/>
  <c r="J171" i="16"/>
  <c r="H171" i="15"/>
  <c r="G171" i="15"/>
  <c r="H171" i="14"/>
  <c r="G171" i="14"/>
  <c r="L171" i="13"/>
  <c r="L171" i="12"/>
  <c r="L171" i="11"/>
  <c r="L171" i="10"/>
  <c r="K171" i="10"/>
  <c r="B171" i="10"/>
  <c r="L171" i="8"/>
  <c r="Q328" i="1" l="1"/>
  <c r="P328" i="1"/>
  <c r="O328" i="1"/>
  <c r="N328" i="1"/>
  <c r="M328" i="1"/>
  <c r="B389" i="1"/>
  <c r="I171" i="7"/>
  <c r="H171" i="7"/>
  <c r="K171" i="6"/>
  <c r="J171" i="6"/>
  <c r="B171" i="4"/>
  <c r="L171" i="4" s="1"/>
  <c r="B169" i="4"/>
  <c r="S171" i="4" l="1"/>
  <c r="R171" i="4"/>
  <c r="Q171" i="4"/>
  <c r="P171" i="4"/>
  <c r="O171" i="4"/>
  <c r="N171" i="4"/>
  <c r="M171" i="4"/>
  <c r="C403" i="1" l="1"/>
  <c r="C404" i="1"/>
  <c r="B327" i="1"/>
  <c r="K327" i="1" s="1"/>
  <c r="D199" i="16"/>
  <c r="E199" i="16"/>
  <c r="F199" i="16"/>
  <c r="G199" i="16"/>
  <c r="H199" i="16"/>
  <c r="I199" i="16"/>
  <c r="J199" i="16"/>
  <c r="K199" i="16"/>
  <c r="C199" i="16"/>
  <c r="B199" i="16"/>
  <c r="D203" i="16"/>
  <c r="E203" i="16"/>
  <c r="F203" i="16"/>
  <c r="G203" i="16"/>
  <c r="H203" i="16"/>
  <c r="I203" i="16"/>
  <c r="J203" i="16"/>
  <c r="J170" i="16"/>
  <c r="K170" i="16" s="1"/>
  <c r="D199" i="15"/>
  <c r="E199" i="15"/>
  <c r="F199" i="15"/>
  <c r="G199" i="15"/>
  <c r="H199" i="15"/>
  <c r="C199" i="15"/>
  <c r="B199" i="15"/>
  <c r="D203" i="15"/>
  <c r="E203" i="15"/>
  <c r="F203" i="15"/>
  <c r="G203" i="15"/>
  <c r="H203" i="15"/>
  <c r="C203" i="15"/>
  <c r="B203" i="15"/>
  <c r="H170" i="15"/>
  <c r="D199" i="14"/>
  <c r="E199" i="14"/>
  <c r="F199" i="14"/>
  <c r="G199" i="14"/>
  <c r="H199" i="14"/>
  <c r="C199" i="14"/>
  <c r="B199" i="14"/>
  <c r="D203" i="14"/>
  <c r="E203" i="14"/>
  <c r="F203" i="14"/>
  <c r="G203" i="14"/>
  <c r="C203" i="14"/>
  <c r="B203" i="14"/>
  <c r="G170" i="14"/>
  <c r="D199" i="13"/>
  <c r="E199" i="13"/>
  <c r="F199" i="13"/>
  <c r="G199" i="13"/>
  <c r="H199" i="13"/>
  <c r="I199" i="13"/>
  <c r="J199" i="13"/>
  <c r="K199" i="13"/>
  <c r="L199" i="13"/>
  <c r="C199" i="13"/>
  <c r="B199" i="13"/>
  <c r="D203" i="13"/>
  <c r="E203" i="13"/>
  <c r="F203" i="13"/>
  <c r="G203" i="13"/>
  <c r="H203" i="13"/>
  <c r="I203" i="13"/>
  <c r="J203" i="13"/>
  <c r="K203" i="13"/>
  <c r="L203" i="13"/>
  <c r="C203" i="13"/>
  <c r="B203" i="13"/>
  <c r="L170" i="13"/>
  <c r="D199" i="12"/>
  <c r="E199" i="12"/>
  <c r="F199" i="12"/>
  <c r="G199" i="12"/>
  <c r="H199" i="12"/>
  <c r="I199" i="12"/>
  <c r="J199" i="12"/>
  <c r="K199" i="12"/>
  <c r="L199" i="12"/>
  <c r="C199" i="12"/>
  <c r="B199" i="12"/>
  <c r="D203" i="12"/>
  <c r="E203" i="12"/>
  <c r="F203" i="12"/>
  <c r="G203" i="12"/>
  <c r="H203" i="12"/>
  <c r="I203" i="12"/>
  <c r="J203" i="12"/>
  <c r="K203" i="12"/>
  <c r="C203" i="12"/>
  <c r="B203" i="12"/>
  <c r="L170" i="12"/>
  <c r="L203" i="12" s="1"/>
  <c r="D199" i="11"/>
  <c r="E199" i="11"/>
  <c r="F199" i="11"/>
  <c r="G199" i="11"/>
  <c r="H199" i="11"/>
  <c r="I199" i="11"/>
  <c r="J199" i="11"/>
  <c r="K199" i="11"/>
  <c r="L199" i="11"/>
  <c r="C199" i="11"/>
  <c r="B199" i="11"/>
  <c r="D203" i="11"/>
  <c r="E203" i="11"/>
  <c r="F203" i="11"/>
  <c r="G203" i="11"/>
  <c r="H203" i="11"/>
  <c r="I203" i="11"/>
  <c r="J203" i="11"/>
  <c r="K203" i="11"/>
  <c r="C203" i="11"/>
  <c r="B203" i="11"/>
  <c r="L170" i="11"/>
  <c r="L203" i="11" s="1"/>
  <c r="D199" i="10"/>
  <c r="E199" i="10"/>
  <c r="F199" i="10"/>
  <c r="G199" i="10"/>
  <c r="H199" i="10"/>
  <c r="I199" i="10"/>
  <c r="J199" i="10"/>
  <c r="K199" i="10"/>
  <c r="L199" i="10"/>
  <c r="C199" i="10"/>
  <c r="B199" i="10"/>
  <c r="D203" i="10"/>
  <c r="E203" i="10"/>
  <c r="F203" i="10"/>
  <c r="G203" i="10"/>
  <c r="H203" i="10"/>
  <c r="I203" i="10"/>
  <c r="J203" i="10"/>
  <c r="K203" i="10"/>
  <c r="C203" i="10"/>
  <c r="B203" i="10"/>
  <c r="K170" i="10"/>
  <c r="B170" i="10"/>
  <c r="D199" i="8"/>
  <c r="E199" i="8"/>
  <c r="F199" i="8"/>
  <c r="G199" i="8"/>
  <c r="H199" i="8"/>
  <c r="I199" i="8"/>
  <c r="J199" i="8"/>
  <c r="K199" i="8"/>
  <c r="L199" i="8"/>
  <c r="C199" i="8"/>
  <c r="B199" i="8"/>
  <c r="D203" i="8"/>
  <c r="E203" i="8"/>
  <c r="F203" i="8"/>
  <c r="G203" i="8"/>
  <c r="H203" i="8"/>
  <c r="I203" i="8"/>
  <c r="J203" i="8"/>
  <c r="K203" i="8"/>
  <c r="L203" i="8"/>
  <c r="L170" i="8"/>
  <c r="Q327" i="1" l="1"/>
  <c r="P327" i="1"/>
  <c r="O327" i="1"/>
  <c r="N327" i="1"/>
  <c r="M327" i="1"/>
  <c r="L327" i="1"/>
  <c r="K203" i="16"/>
  <c r="H170" i="14"/>
  <c r="L170" i="10"/>
  <c r="H203" i="14" l="1"/>
  <c r="L203" i="10"/>
  <c r="D199" i="7" l="1"/>
  <c r="E199" i="7"/>
  <c r="F199" i="7"/>
  <c r="G199" i="7"/>
  <c r="H199" i="7"/>
  <c r="I199" i="7"/>
  <c r="C199" i="7"/>
  <c r="B199" i="7"/>
  <c r="D203" i="7"/>
  <c r="E203" i="7"/>
  <c r="F203" i="7"/>
  <c r="G203" i="7"/>
  <c r="H203" i="7"/>
  <c r="C203" i="7"/>
  <c r="B203" i="7"/>
  <c r="I170" i="7"/>
  <c r="H170" i="7"/>
  <c r="D199" i="6"/>
  <c r="E199" i="6"/>
  <c r="F199" i="6"/>
  <c r="G199" i="6"/>
  <c r="H199" i="6"/>
  <c r="I199" i="6"/>
  <c r="J199" i="6"/>
  <c r="K199" i="6"/>
  <c r="C199" i="6"/>
  <c r="B199" i="6"/>
  <c r="D203" i="6"/>
  <c r="E203" i="6"/>
  <c r="F203" i="6"/>
  <c r="G203" i="6"/>
  <c r="H203" i="6"/>
  <c r="I203" i="6"/>
  <c r="C203" i="6"/>
  <c r="B203" i="6"/>
  <c r="J170" i="6"/>
  <c r="K170" i="6" s="1"/>
  <c r="J199" i="4"/>
  <c r="I199" i="4"/>
  <c r="H199" i="4"/>
  <c r="G199" i="4"/>
  <c r="F199" i="4"/>
  <c r="E199" i="4"/>
  <c r="D199" i="4"/>
  <c r="C199" i="4"/>
  <c r="B199" i="4"/>
  <c r="D203" i="4"/>
  <c r="E203" i="4"/>
  <c r="F203" i="4"/>
  <c r="G203" i="4"/>
  <c r="H203" i="4"/>
  <c r="I203" i="4"/>
  <c r="J203" i="4"/>
  <c r="C203" i="4"/>
  <c r="B170" i="4"/>
  <c r="L170" i="4" s="1"/>
  <c r="I389" i="1"/>
  <c r="H389" i="1"/>
  <c r="G389" i="1"/>
  <c r="F389" i="1"/>
  <c r="E389" i="1"/>
  <c r="D389" i="1"/>
  <c r="C389" i="1"/>
  <c r="D394" i="1"/>
  <c r="E394" i="1"/>
  <c r="F394" i="1"/>
  <c r="G394" i="1"/>
  <c r="H394" i="1"/>
  <c r="I394" i="1"/>
  <c r="B326" i="1"/>
  <c r="Q326" i="1" s="1"/>
  <c r="H169" i="7"/>
  <c r="J169" i="6"/>
  <c r="B325" i="1"/>
  <c r="J168" i="16"/>
  <c r="G168" i="14"/>
  <c r="K168" i="10"/>
  <c r="B168" i="10"/>
  <c r="H168" i="7"/>
  <c r="J168" i="6"/>
  <c r="I203" i="7" l="1"/>
  <c r="K203" i="6"/>
  <c r="J203" i="6"/>
  <c r="O199" i="4"/>
  <c r="S199" i="4"/>
  <c r="L199" i="4"/>
  <c r="M199" i="4"/>
  <c r="N199" i="4"/>
  <c r="P199" i="4"/>
  <c r="Q199" i="4"/>
  <c r="R199" i="4"/>
  <c r="B203" i="4"/>
  <c r="S170" i="4"/>
  <c r="N170" i="4"/>
  <c r="R170" i="4"/>
  <c r="O170" i="4"/>
  <c r="Q170" i="4"/>
  <c r="P170" i="4"/>
  <c r="K389" i="1"/>
  <c r="M170" i="4"/>
  <c r="M389" i="1"/>
  <c r="N389" i="1"/>
  <c r="O389" i="1"/>
  <c r="P389" i="1"/>
  <c r="Q389" i="1"/>
  <c r="L389" i="1"/>
  <c r="L326" i="1"/>
  <c r="P326" i="1"/>
  <c r="M326" i="1"/>
  <c r="O326" i="1"/>
  <c r="K326" i="1"/>
  <c r="N326" i="1"/>
  <c r="B324" i="1"/>
  <c r="B323" i="1" l="1"/>
  <c r="B165" i="4"/>
  <c r="B322" i="1" l="1"/>
  <c r="M322" i="1" l="1"/>
  <c r="P322" i="1"/>
  <c r="K322" i="1"/>
  <c r="N322" i="1"/>
  <c r="O322" i="1"/>
  <c r="L322" i="1"/>
  <c r="Q322" i="1"/>
  <c r="E386" i="1"/>
  <c r="E387" i="1"/>
  <c r="E388" i="1"/>
  <c r="G386" i="1"/>
  <c r="G387" i="1"/>
  <c r="F403" i="1"/>
  <c r="B321" i="1"/>
  <c r="H404" i="1"/>
  <c r="B320" i="1" l="1"/>
  <c r="B319" i="1" l="1"/>
  <c r="B318" i="1" l="1"/>
  <c r="B317" i="1" l="1"/>
  <c r="J160" i="16" l="1"/>
  <c r="G160" i="15"/>
  <c r="G160" i="14"/>
  <c r="B160" i="10"/>
  <c r="H160" i="7"/>
  <c r="B316" i="1" l="1"/>
  <c r="B302" i="1"/>
  <c r="B315" i="1" l="1"/>
  <c r="B154" i="4"/>
  <c r="B155" i="4"/>
  <c r="B156" i="4"/>
  <c r="B157" i="4"/>
  <c r="B158" i="4"/>
  <c r="B159" i="4"/>
  <c r="B160" i="4"/>
  <c r="B161" i="4"/>
  <c r="B162" i="4"/>
  <c r="B163" i="4"/>
  <c r="B164" i="4"/>
  <c r="B166" i="4"/>
  <c r="L166" i="4" s="1"/>
  <c r="B167" i="4"/>
  <c r="B168" i="4"/>
  <c r="B403" i="1" l="1"/>
  <c r="D198" i="16"/>
  <c r="E198" i="16"/>
  <c r="F198" i="16"/>
  <c r="G198" i="16"/>
  <c r="H198" i="16"/>
  <c r="I198" i="16"/>
  <c r="J198" i="16"/>
  <c r="C198" i="16"/>
  <c r="B198" i="16"/>
  <c r="K169" i="16"/>
  <c r="K168" i="16"/>
  <c r="K167" i="16"/>
  <c r="K166" i="16"/>
  <c r="K165" i="16"/>
  <c r="K164" i="16"/>
  <c r="K163" i="16"/>
  <c r="K162" i="16"/>
  <c r="K161" i="16"/>
  <c r="K160" i="16"/>
  <c r="K159" i="16"/>
  <c r="K158" i="16"/>
  <c r="D198" i="15"/>
  <c r="E198" i="15"/>
  <c r="F198" i="15"/>
  <c r="G198" i="15"/>
  <c r="C198" i="15"/>
  <c r="B198" i="15"/>
  <c r="H169" i="15"/>
  <c r="H168" i="15"/>
  <c r="H167" i="15"/>
  <c r="H166" i="15"/>
  <c r="H165" i="15"/>
  <c r="H164" i="15"/>
  <c r="H163" i="15"/>
  <c r="H162" i="15"/>
  <c r="H161" i="15"/>
  <c r="H160" i="15"/>
  <c r="H159" i="15"/>
  <c r="H158" i="15"/>
  <c r="D198" i="14"/>
  <c r="E198" i="14"/>
  <c r="F198" i="14"/>
  <c r="G198" i="14"/>
  <c r="C198" i="14"/>
  <c r="B198" i="14"/>
  <c r="H169" i="14"/>
  <c r="H168" i="14"/>
  <c r="H167" i="14"/>
  <c r="H166" i="14"/>
  <c r="H165" i="14"/>
  <c r="H164" i="14"/>
  <c r="H163" i="14"/>
  <c r="H162" i="14"/>
  <c r="H161" i="14"/>
  <c r="H160" i="14"/>
  <c r="H159" i="14"/>
  <c r="H158" i="14"/>
  <c r="D198" i="13"/>
  <c r="E198" i="13"/>
  <c r="F198" i="13"/>
  <c r="G198" i="13"/>
  <c r="H198" i="13"/>
  <c r="I198" i="13"/>
  <c r="J198" i="13"/>
  <c r="K198" i="13"/>
  <c r="C198" i="13"/>
  <c r="B198" i="13"/>
  <c r="L169" i="13"/>
  <c r="L168" i="13"/>
  <c r="L167" i="13"/>
  <c r="L166" i="13"/>
  <c r="L165" i="13"/>
  <c r="L164" i="13"/>
  <c r="L163" i="13"/>
  <c r="L162" i="13"/>
  <c r="L161" i="13"/>
  <c r="L160" i="13"/>
  <c r="L159" i="13"/>
  <c r="L158" i="13"/>
  <c r="D198" i="12"/>
  <c r="E198" i="12"/>
  <c r="F198" i="12"/>
  <c r="G198" i="12"/>
  <c r="H198" i="12"/>
  <c r="I198" i="12"/>
  <c r="J198" i="12"/>
  <c r="K198" i="12"/>
  <c r="C198" i="12"/>
  <c r="B198" i="12"/>
  <c r="L169" i="12"/>
  <c r="L168" i="12"/>
  <c r="L167" i="12"/>
  <c r="L166" i="12"/>
  <c r="L165" i="12"/>
  <c r="L164" i="12"/>
  <c r="L163" i="12"/>
  <c r="L162" i="12"/>
  <c r="L161" i="12"/>
  <c r="L160" i="12"/>
  <c r="L159" i="12"/>
  <c r="L158" i="12"/>
  <c r="D198" i="11"/>
  <c r="E198" i="11"/>
  <c r="F198" i="11"/>
  <c r="G198" i="11"/>
  <c r="H198" i="11"/>
  <c r="I198" i="11"/>
  <c r="J198" i="11"/>
  <c r="K198" i="11"/>
  <c r="C198" i="11"/>
  <c r="B198" i="11"/>
  <c r="L169" i="11"/>
  <c r="L168" i="11"/>
  <c r="L167" i="11"/>
  <c r="L166" i="11"/>
  <c r="L165" i="11"/>
  <c r="L164" i="11"/>
  <c r="L163" i="11"/>
  <c r="L162" i="11"/>
  <c r="L161" i="11"/>
  <c r="L160" i="11"/>
  <c r="L159" i="11"/>
  <c r="L158" i="11"/>
  <c r="B185" i="11"/>
  <c r="C185" i="11"/>
  <c r="D185" i="11"/>
  <c r="E185" i="11"/>
  <c r="F185" i="11"/>
  <c r="G185" i="11"/>
  <c r="H185" i="11"/>
  <c r="I185" i="11"/>
  <c r="J185" i="11"/>
  <c r="K185" i="11"/>
  <c r="B186" i="11"/>
  <c r="C186" i="11"/>
  <c r="D186" i="11"/>
  <c r="E186" i="11"/>
  <c r="F186" i="11"/>
  <c r="G186" i="11"/>
  <c r="H186" i="11"/>
  <c r="I186" i="11"/>
  <c r="J186" i="11"/>
  <c r="K186" i="11"/>
  <c r="B187" i="11"/>
  <c r="C187" i="11"/>
  <c r="D187" i="11"/>
  <c r="E187" i="11"/>
  <c r="F187" i="11"/>
  <c r="G187" i="11"/>
  <c r="H187" i="11"/>
  <c r="I187" i="11"/>
  <c r="J187" i="11"/>
  <c r="K187" i="11"/>
  <c r="B188" i="11"/>
  <c r="C188" i="11"/>
  <c r="D188" i="11"/>
  <c r="E188" i="11"/>
  <c r="F188" i="11"/>
  <c r="G188" i="11"/>
  <c r="H188" i="11"/>
  <c r="I188" i="11"/>
  <c r="J188" i="11"/>
  <c r="K188" i="11"/>
  <c r="B189" i="11"/>
  <c r="C189" i="11"/>
  <c r="D189" i="11"/>
  <c r="E189" i="11"/>
  <c r="F189" i="11"/>
  <c r="G189" i="11"/>
  <c r="H189" i="11"/>
  <c r="I189" i="11"/>
  <c r="J189" i="11"/>
  <c r="K189" i="11"/>
  <c r="B190" i="11"/>
  <c r="C190" i="11"/>
  <c r="D190" i="11"/>
  <c r="E190" i="11"/>
  <c r="F190" i="11"/>
  <c r="G190" i="11"/>
  <c r="H190" i="11"/>
  <c r="I190" i="11"/>
  <c r="J190" i="11"/>
  <c r="K190" i="11"/>
  <c r="B191" i="11"/>
  <c r="C191" i="11"/>
  <c r="D191" i="11"/>
  <c r="E191" i="11"/>
  <c r="F191" i="11"/>
  <c r="G191" i="11"/>
  <c r="H191" i="11"/>
  <c r="I191" i="11"/>
  <c r="J191" i="11"/>
  <c r="K191" i="11"/>
  <c r="B192" i="11"/>
  <c r="C192" i="11"/>
  <c r="D192" i="11"/>
  <c r="E192" i="11"/>
  <c r="F192" i="11"/>
  <c r="G192" i="11"/>
  <c r="H192" i="11"/>
  <c r="I192" i="11"/>
  <c r="J192" i="11"/>
  <c r="K192" i="11"/>
  <c r="B193" i="11"/>
  <c r="C193" i="11"/>
  <c r="D193" i="11"/>
  <c r="E193" i="11"/>
  <c r="F193" i="11"/>
  <c r="G193" i="11"/>
  <c r="H193" i="11"/>
  <c r="I193" i="11"/>
  <c r="J193" i="11"/>
  <c r="K193" i="11"/>
  <c r="D198" i="10"/>
  <c r="E198" i="10"/>
  <c r="F198" i="10"/>
  <c r="G198" i="10"/>
  <c r="H198" i="10"/>
  <c r="I198" i="10"/>
  <c r="J198" i="10"/>
  <c r="K198" i="10"/>
  <c r="C198" i="10"/>
  <c r="B198" i="10"/>
  <c r="L169" i="10"/>
  <c r="L168" i="10"/>
  <c r="L167" i="10"/>
  <c r="L166" i="10"/>
  <c r="L165" i="10"/>
  <c r="L164" i="10"/>
  <c r="L163" i="10"/>
  <c r="L162" i="10"/>
  <c r="L161" i="10"/>
  <c r="L160" i="10"/>
  <c r="L159" i="10"/>
  <c r="L158" i="10"/>
  <c r="D198" i="8"/>
  <c r="E198" i="8"/>
  <c r="F198" i="8"/>
  <c r="G198" i="8"/>
  <c r="H198" i="8"/>
  <c r="I198" i="8"/>
  <c r="J198" i="8"/>
  <c r="K198" i="8"/>
  <c r="C198" i="8"/>
  <c r="B198" i="8"/>
  <c r="D198" i="7"/>
  <c r="E198" i="7"/>
  <c r="F198" i="7"/>
  <c r="G198" i="7"/>
  <c r="H198" i="7"/>
  <c r="C198" i="7"/>
  <c r="B198" i="7"/>
  <c r="D198" i="6"/>
  <c r="E198" i="6"/>
  <c r="F198" i="6"/>
  <c r="G198" i="6"/>
  <c r="H198" i="6"/>
  <c r="I198" i="6"/>
  <c r="J198" i="6"/>
  <c r="C198" i="6"/>
  <c r="B198" i="6"/>
  <c r="L169" i="8"/>
  <c r="L168" i="8"/>
  <c r="L167" i="8"/>
  <c r="L166" i="8"/>
  <c r="L165" i="8"/>
  <c r="L164" i="8"/>
  <c r="L163" i="8"/>
  <c r="L162" i="8"/>
  <c r="L161" i="8"/>
  <c r="L160" i="8"/>
  <c r="L159" i="8"/>
  <c r="L158" i="8"/>
  <c r="I169" i="7"/>
  <c r="I168" i="7"/>
  <c r="I167" i="7"/>
  <c r="I166" i="7"/>
  <c r="I165" i="7"/>
  <c r="I164" i="7"/>
  <c r="I163" i="7"/>
  <c r="I162" i="7"/>
  <c r="I161" i="7"/>
  <c r="I160" i="7"/>
  <c r="I159" i="7"/>
  <c r="I158" i="7"/>
  <c r="K169" i="6"/>
  <c r="K168" i="6"/>
  <c r="K167" i="6"/>
  <c r="K166" i="6"/>
  <c r="K165" i="6"/>
  <c r="K164" i="6"/>
  <c r="K163" i="6"/>
  <c r="K162" i="6"/>
  <c r="K161" i="6"/>
  <c r="K160" i="6"/>
  <c r="K159" i="6"/>
  <c r="K158" i="6"/>
  <c r="L198" i="8" l="1"/>
  <c r="K198" i="16"/>
  <c r="H198" i="15"/>
  <c r="H198" i="14"/>
  <c r="L198" i="13"/>
  <c r="L198" i="12"/>
  <c r="L198" i="11"/>
  <c r="I198" i="7"/>
  <c r="K198" i="6"/>
  <c r="L198" i="10"/>
  <c r="J198" i="4" l="1"/>
  <c r="I197" i="4"/>
  <c r="I198" i="4"/>
  <c r="H197" i="4"/>
  <c r="H198" i="4"/>
  <c r="G197" i="4"/>
  <c r="G198" i="4"/>
  <c r="F197" i="4"/>
  <c r="F198" i="4"/>
  <c r="E197" i="4"/>
  <c r="E198" i="4"/>
  <c r="D197" i="4"/>
  <c r="D198" i="4"/>
  <c r="C197" i="4"/>
  <c r="C198" i="4"/>
  <c r="B198" i="4"/>
  <c r="S169" i="4"/>
  <c r="R169" i="4"/>
  <c r="O169" i="4"/>
  <c r="N169" i="4"/>
  <c r="Q169" i="4"/>
  <c r="S168" i="4"/>
  <c r="R168" i="4"/>
  <c r="Q168" i="4"/>
  <c r="P168" i="4"/>
  <c r="O168" i="4"/>
  <c r="N168" i="4"/>
  <c r="M168" i="4"/>
  <c r="L168" i="4"/>
  <c r="S167" i="4"/>
  <c r="R167" i="4"/>
  <c r="Q167" i="4"/>
  <c r="P167" i="4"/>
  <c r="O167" i="4"/>
  <c r="N167" i="4"/>
  <c r="M167" i="4"/>
  <c r="L167" i="4"/>
  <c r="O166" i="4"/>
  <c r="R166" i="4"/>
  <c r="R164" i="4"/>
  <c r="S164" i="4"/>
  <c r="M164" i="4"/>
  <c r="Q163" i="4"/>
  <c r="P163" i="4"/>
  <c r="N163" i="4"/>
  <c r="M163" i="4"/>
  <c r="L163" i="4"/>
  <c r="S163" i="4"/>
  <c r="O163" i="4"/>
  <c r="N162" i="4"/>
  <c r="S162" i="4"/>
  <c r="Q162" i="4"/>
  <c r="R161" i="4"/>
  <c r="Q161" i="4"/>
  <c r="P161" i="4"/>
  <c r="N161" i="4"/>
  <c r="M161" i="4"/>
  <c r="L161" i="4"/>
  <c r="S161" i="4"/>
  <c r="R160" i="4"/>
  <c r="Q160" i="4"/>
  <c r="N160" i="4"/>
  <c r="M160" i="4"/>
  <c r="L160" i="4"/>
  <c r="R159" i="4"/>
  <c r="N159" i="4"/>
  <c r="M159" i="4"/>
  <c r="P158" i="4"/>
  <c r="O158" i="4" l="1"/>
  <c r="R162" i="4"/>
  <c r="N164" i="4"/>
  <c r="S166" i="4"/>
  <c r="O159" i="4"/>
  <c r="O164" i="4"/>
  <c r="Q158" i="4"/>
  <c r="P159" i="4"/>
  <c r="O160" i="4"/>
  <c r="L162" i="4"/>
  <c r="R163" i="4"/>
  <c r="P164" i="4"/>
  <c r="M166" i="4"/>
  <c r="L169" i="4"/>
  <c r="R158" i="4"/>
  <c r="Q159" i="4"/>
  <c r="P160" i="4"/>
  <c r="O161" i="4"/>
  <c r="M162" i="4"/>
  <c r="Q164" i="4"/>
  <c r="N166" i="4"/>
  <c r="M169" i="4"/>
  <c r="P166" i="4"/>
  <c r="S158" i="4"/>
  <c r="L158" i="4"/>
  <c r="S159" i="4"/>
  <c r="O162" i="4"/>
  <c r="M158" i="4"/>
  <c r="L159" i="4"/>
  <c r="S160" i="4"/>
  <c r="P162" i="4"/>
  <c r="L164" i="4"/>
  <c r="Q166" i="4"/>
  <c r="P169" i="4"/>
  <c r="N158" i="4"/>
  <c r="I386" i="1" l="1"/>
  <c r="I387" i="1"/>
  <c r="I388" i="1"/>
  <c r="H386" i="1"/>
  <c r="H387" i="1"/>
  <c r="H388" i="1"/>
  <c r="G388" i="1"/>
  <c r="F386" i="1"/>
  <c r="F387" i="1"/>
  <c r="F388" i="1"/>
  <c r="D386" i="1"/>
  <c r="D387" i="1"/>
  <c r="D388" i="1"/>
  <c r="C388" i="1"/>
  <c r="C386" i="1"/>
  <c r="C387" i="1"/>
  <c r="B388" i="1"/>
  <c r="D397" i="1"/>
  <c r="E397" i="1"/>
  <c r="F397" i="1"/>
  <c r="G397" i="1"/>
  <c r="I397" i="1"/>
  <c r="F404" i="1"/>
  <c r="I396" i="1" l="1"/>
  <c r="H397" i="1"/>
  <c r="H396" i="1"/>
  <c r="D396" i="1"/>
  <c r="G396" i="1"/>
  <c r="D404" i="1"/>
  <c r="F396" i="1"/>
  <c r="E404" i="1"/>
  <c r="E396" i="1"/>
  <c r="I403" i="1"/>
  <c r="I404" i="1"/>
  <c r="H403" i="1"/>
  <c r="G404" i="1"/>
  <c r="G403" i="1"/>
  <c r="E403" i="1"/>
  <c r="D403" i="1"/>
  <c r="K314" i="1" l="1"/>
  <c r="K315" i="1"/>
  <c r="K316" i="1"/>
  <c r="K317" i="1"/>
  <c r="K318" i="1"/>
  <c r="K319" i="1"/>
  <c r="K320" i="1"/>
  <c r="K321" i="1"/>
  <c r="K323" i="1"/>
  <c r="K324" i="1"/>
  <c r="K325" i="1"/>
  <c r="L314" i="1"/>
  <c r="L315" i="1"/>
  <c r="L316" i="1"/>
  <c r="L317" i="1"/>
  <c r="L318" i="1"/>
  <c r="L319" i="1"/>
  <c r="L320" i="1"/>
  <c r="L321" i="1"/>
  <c r="L323" i="1"/>
  <c r="L324" i="1"/>
  <c r="L325" i="1"/>
  <c r="M314" i="1"/>
  <c r="M315" i="1"/>
  <c r="M316" i="1"/>
  <c r="M317" i="1"/>
  <c r="M318" i="1"/>
  <c r="M320" i="1"/>
  <c r="M321" i="1"/>
  <c r="M323" i="1"/>
  <c r="M324" i="1"/>
  <c r="M325" i="1"/>
  <c r="Q314" i="1"/>
  <c r="Q315" i="1"/>
  <c r="Q316" i="1"/>
  <c r="Q317" i="1"/>
  <c r="Q318" i="1"/>
  <c r="Q319" i="1"/>
  <c r="Q320" i="1"/>
  <c r="Q321" i="1"/>
  <c r="Q323" i="1"/>
  <c r="Q324" i="1"/>
  <c r="Q325" i="1"/>
  <c r="P314" i="1"/>
  <c r="P315" i="1"/>
  <c r="P316" i="1"/>
  <c r="P317" i="1"/>
  <c r="P318" i="1"/>
  <c r="P319" i="1"/>
  <c r="P320" i="1"/>
  <c r="P321" i="1"/>
  <c r="P323" i="1"/>
  <c r="P324" i="1"/>
  <c r="P325" i="1"/>
  <c r="O314" i="1"/>
  <c r="O315" i="1"/>
  <c r="O316" i="1"/>
  <c r="O317" i="1"/>
  <c r="O318" i="1"/>
  <c r="O319" i="1"/>
  <c r="O320" i="1"/>
  <c r="O321" i="1"/>
  <c r="O323" i="1"/>
  <c r="O324" i="1"/>
  <c r="O325" i="1"/>
  <c r="N314" i="1"/>
  <c r="N315" i="1"/>
  <c r="N316" i="1"/>
  <c r="N317" i="1"/>
  <c r="N318" i="1"/>
  <c r="N319" i="1"/>
  <c r="N320" i="1"/>
  <c r="N321" i="1"/>
  <c r="N323" i="1"/>
  <c r="N324" i="1"/>
  <c r="N325" i="1"/>
  <c r="E209" i="4"/>
  <c r="E204" i="4"/>
  <c r="I153" i="7" l="1"/>
  <c r="J152" i="4" l="1"/>
  <c r="H152" i="15"/>
  <c r="J151" i="4"/>
  <c r="J150" i="4"/>
  <c r="L150" i="13" l="1"/>
  <c r="H151" i="15" l="1"/>
  <c r="E197" i="11"/>
  <c r="I146" i="7"/>
  <c r="B306" i="1" l="1"/>
  <c r="F364" i="1"/>
  <c r="B197" i="15" l="1"/>
  <c r="B197" i="6"/>
  <c r="C204" i="4"/>
  <c r="J209" i="16" l="1"/>
  <c r="H209" i="16"/>
  <c r="H204" i="16"/>
  <c r="D209" i="15"/>
  <c r="C204" i="15"/>
  <c r="E204" i="15"/>
  <c r="C209" i="14"/>
  <c r="E209" i="14"/>
  <c r="G204" i="14"/>
  <c r="D204" i="14"/>
  <c r="I209" i="13"/>
  <c r="G209" i="13"/>
  <c r="H204" i="13"/>
  <c r="I204" i="13"/>
  <c r="F204" i="13"/>
  <c r="G204" i="13"/>
  <c r="H204" i="12"/>
  <c r="J209" i="11"/>
  <c r="H209" i="11"/>
  <c r="I204" i="11"/>
  <c r="G204" i="11"/>
  <c r="J209" i="10"/>
  <c r="H209" i="10"/>
  <c r="L146" i="10"/>
  <c r="E204" i="8"/>
  <c r="H204" i="8"/>
  <c r="C204" i="7"/>
  <c r="H209" i="6"/>
  <c r="I209" i="4"/>
  <c r="I204" i="4"/>
  <c r="B304" i="1"/>
  <c r="Q304" i="1" s="1"/>
  <c r="J209" i="4"/>
  <c r="E204" i="16"/>
  <c r="C197" i="16"/>
  <c r="D197" i="16"/>
  <c r="E197" i="16"/>
  <c r="F197" i="16"/>
  <c r="G197" i="16"/>
  <c r="H197" i="16"/>
  <c r="I197" i="16"/>
  <c r="J197" i="16"/>
  <c r="B197" i="16"/>
  <c r="K150" i="16"/>
  <c r="K157" i="16"/>
  <c r="K156" i="16"/>
  <c r="K155" i="16"/>
  <c r="K154" i="16"/>
  <c r="K153" i="16"/>
  <c r="K152" i="16"/>
  <c r="K151" i="16"/>
  <c r="K149" i="16"/>
  <c r="K148" i="16"/>
  <c r="K147" i="16"/>
  <c r="K146" i="16"/>
  <c r="F204" i="15"/>
  <c r="C197" i="15"/>
  <c r="D197" i="15"/>
  <c r="E197" i="15"/>
  <c r="F197" i="15"/>
  <c r="G197" i="15"/>
  <c r="H150" i="15"/>
  <c r="H157" i="15"/>
  <c r="H156" i="15"/>
  <c r="H155" i="15"/>
  <c r="H154" i="15"/>
  <c r="H153" i="15"/>
  <c r="H149" i="15"/>
  <c r="H148" i="15"/>
  <c r="H147" i="15"/>
  <c r="H146" i="15"/>
  <c r="D209" i="14"/>
  <c r="F204" i="14"/>
  <c r="C197" i="14"/>
  <c r="D197" i="14"/>
  <c r="E197" i="14"/>
  <c r="F197" i="14"/>
  <c r="G197" i="14"/>
  <c r="B197" i="14"/>
  <c r="H150" i="14"/>
  <c r="H157" i="14"/>
  <c r="H156" i="14"/>
  <c r="H155" i="14"/>
  <c r="H154" i="14"/>
  <c r="H153" i="14"/>
  <c r="J153" i="4" s="1"/>
  <c r="H152" i="14"/>
  <c r="H151" i="14"/>
  <c r="H149" i="14"/>
  <c r="H148" i="14"/>
  <c r="H147" i="14"/>
  <c r="H146" i="14"/>
  <c r="B197" i="13"/>
  <c r="C197" i="13"/>
  <c r="D197" i="13"/>
  <c r="E197" i="13"/>
  <c r="F197" i="13"/>
  <c r="G197" i="13"/>
  <c r="H197" i="13"/>
  <c r="I197" i="13"/>
  <c r="J197" i="13"/>
  <c r="K197" i="13"/>
  <c r="L157" i="13"/>
  <c r="L156" i="13"/>
  <c r="L155" i="13"/>
  <c r="L154" i="13"/>
  <c r="L153" i="13"/>
  <c r="L152" i="13"/>
  <c r="L151" i="13"/>
  <c r="L149" i="13"/>
  <c r="L148" i="13"/>
  <c r="L147" i="13"/>
  <c r="L146" i="13"/>
  <c r="C197" i="12"/>
  <c r="D197" i="12"/>
  <c r="E197" i="12"/>
  <c r="F197" i="12"/>
  <c r="G197" i="12"/>
  <c r="H197" i="12"/>
  <c r="I197" i="12"/>
  <c r="J197" i="12"/>
  <c r="K197" i="12"/>
  <c r="B197" i="12"/>
  <c r="L150" i="12"/>
  <c r="L157" i="12"/>
  <c r="L156" i="12"/>
  <c r="L155" i="12"/>
  <c r="L154" i="12"/>
  <c r="L153" i="12"/>
  <c r="L152" i="12"/>
  <c r="L151" i="12"/>
  <c r="L149" i="12"/>
  <c r="L148" i="12"/>
  <c r="L147" i="12"/>
  <c r="L146" i="12"/>
  <c r="F209" i="11"/>
  <c r="C197" i="11"/>
  <c r="D197" i="11"/>
  <c r="F197" i="11"/>
  <c r="G197" i="11"/>
  <c r="H197" i="11"/>
  <c r="I197" i="11"/>
  <c r="J197" i="11"/>
  <c r="K197" i="11"/>
  <c r="B197" i="11"/>
  <c r="L150" i="11"/>
  <c r="L157" i="11"/>
  <c r="L156" i="11"/>
  <c r="L155" i="11"/>
  <c r="L154" i="11"/>
  <c r="L153" i="11"/>
  <c r="L152" i="11"/>
  <c r="L151" i="11"/>
  <c r="L149" i="11"/>
  <c r="L148" i="11"/>
  <c r="L147" i="11"/>
  <c r="L146" i="11"/>
  <c r="G209" i="10"/>
  <c r="C204" i="10"/>
  <c r="K204" i="10"/>
  <c r="B204" i="10"/>
  <c r="C197" i="10"/>
  <c r="D197" i="10"/>
  <c r="E197" i="10"/>
  <c r="F197" i="10"/>
  <c r="G197" i="10"/>
  <c r="H197" i="10"/>
  <c r="I197" i="10"/>
  <c r="J197" i="10"/>
  <c r="K197" i="10"/>
  <c r="B197" i="10"/>
  <c r="L150" i="10"/>
  <c r="L157" i="10"/>
  <c r="L156" i="10"/>
  <c r="L155" i="10"/>
  <c r="L154" i="10"/>
  <c r="L153" i="10"/>
  <c r="L152" i="10"/>
  <c r="L151" i="10"/>
  <c r="L149" i="10"/>
  <c r="L148" i="10"/>
  <c r="L147" i="10"/>
  <c r="B185" i="10"/>
  <c r="C185" i="10"/>
  <c r="D185" i="10"/>
  <c r="E185" i="10"/>
  <c r="F185" i="10"/>
  <c r="G185" i="10"/>
  <c r="H185" i="10"/>
  <c r="I185" i="10"/>
  <c r="J185" i="10"/>
  <c r="K185" i="10"/>
  <c r="B186" i="10"/>
  <c r="C186" i="10"/>
  <c r="D186" i="10"/>
  <c r="E186" i="10"/>
  <c r="F186" i="10"/>
  <c r="G186" i="10"/>
  <c r="H186" i="10"/>
  <c r="I186" i="10"/>
  <c r="J186" i="10"/>
  <c r="K186" i="10"/>
  <c r="B187" i="10"/>
  <c r="C187" i="10"/>
  <c r="D187" i="10"/>
  <c r="E187" i="10"/>
  <c r="F187" i="10"/>
  <c r="G187" i="10"/>
  <c r="H187" i="10"/>
  <c r="I187" i="10"/>
  <c r="J187" i="10"/>
  <c r="K187" i="10"/>
  <c r="B188" i="10"/>
  <c r="C188" i="10"/>
  <c r="D188" i="10"/>
  <c r="E188" i="10"/>
  <c r="F188" i="10"/>
  <c r="G188" i="10"/>
  <c r="H188" i="10"/>
  <c r="I188" i="10"/>
  <c r="J188" i="10"/>
  <c r="K188" i="10"/>
  <c r="B189" i="10"/>
  <c r="C189" i="10"/>
  <c r="D189" i="10"/>
  <c r="E189" i="10"/>
  <c r="F189" i="10"/>
  <c r="G189" i="10"/>
  <c r="H189" i="10"/>
  <c r="I189" i="10"/>
  <c r="J189" i="10"/>
  <c r="K189" i="10"/>
  <c r="B190" i="10"/>
  <c r="C190" i="10"/>
  <c r="D190" i="10"/>
  <c r="E190" i="10"/>
  <c r="F190" i="10"/>
  <c r="G190" i="10"/>
  <c r="H190" i="10"/>
  <c r="I190" i="10"/>
  <c r="J190" i="10"/>
  <c r="K190" i="10"/>
  <c r="B191" i="10"/>
  <c r="C191" i="10"/>
  <c r="D191" i="10"/>
  <c r="E191" i="10"/>
  <c r="F191" i="10"/>
  <c r="G191" i="10"/>
  <c r="H191" i="10"/>
  <c r="I191" i="10"/>
  <c r="J191" i="10"/>
  <c r="K191" i="10"/>
  <c r="B192" i="10"/>
  <c r="C192" i="10"/>
  <c r="D192" i="10"/>
  <c r="E192" i="10"/>
  <c r="F192" i="10"/>
  <c r="G192" i="10"/>
  <c r="H192" i="10"/>
  <c r="I192" i="10"/>
  <c r="J192" i="10"/>
  <c r="K192" i="10"/>
  <c r="B193" i="10"/>
  <c r="C193" i="10"/>
  <c r="D193" i="10"/>
  <c r="E193" i="10"/>
  <c r="F193" i="10"/>
  <c r="G193" i="10"/>
  <c r="H193" i="10"/>
  <c r="I193" i="10"/>
  <c r="J193" i="10"/>
  <c r="K193" i="10"/>
  <c r="H209" i="8"/>
  <c r="C197" i="8"/>
  <c r="D197" i="8"/>
  <c r="E197" i="8"/>
  <c r="F197" i="8"/>
  <c r="G197" i="8"/>
  <c r="H197" i="8"/>
  <c r="I197" i="8"/>
  <c r="J197" i="8"/>
  <c r="K197" i="8"/>
  <c r="B197" i="8"/>
  <c r="L149" i="8"/>
  <c r="L150" i="8"/>
  <c r="L157" i="8"/>
  <c r="L156" i="8"/>
  <c r="L155" i="8"/>
  <c r="L154" i="8"/>
  <c r="L153" i="8"/>
  <c r="L152" i="8"/>
  <c r="L151" i="8"/>
  <c r="L148" i="8"/>
  <c r="L147" i="8"/>
  <c r="L146" i="8"/>
  <c r="B204" i="7"/>
  <c r="C197" i="7"/>
  <c r="D197" i="7"/>
  <c r="E197" i="7"/>
  <c r="F197" i="7"/>
  <c r="G197" i="7"/>
  <c r="H197" i="7"/>
  <c r="B197" i="7"/>
  <c r="I150" i="7"/>
  <c r="I157" i="7"/>
  <c r="I156" i="7"/>
  <c r="I155" i="7"/>
  <c r="I154" i="7"/>
  <c r="I152" i="7"/>
  <c r="I151" i="7"/>
  <c r="I149" i="7"/>
  <c r="I148" i="7"/>
  <c r="I147" i="7"/>
  <c r="D204" i="6"/>
  <c r="I204" i="6"/>
  <c r="B204" i="6"/>
  <c r="C197" i="6"/>
  <c r="D197" i="6"/>
  <c r="E197" i="6"/>
  <c r="F197" i="6"/>
  <c r="G197" i="6"/>
  <c r="H197" i="6"/>
  <c r="I197" i="6"/>
  <c r="J197" i="6"/>
  <c r="K150" i="6"/>
  <c r="K157" i="6"/>
  <c r="K156" i="6"/>
  <c r="K155" i="6"/>
  <c r="K154" i="6"/>
  <c r="K153" i="6"/>
  <c r="K152" i="6"/>
  <c r="K151" i="6"/>
  <c r="K149" i="6"/>
  <c r="K148" i="6"/>
  <c r="K147" i="6"/>
  <c r="K146" i="6"/>
  <c r="B148" i="4"/>
  <c r="O148" i="4" s="1"/>
  <c r="B149" i="4"/>
  <c r="N149" i="4" s="1"/>
  <c r="B150" i="4"/>
  <c r="R150" i="4" s="1"/>
  <c r="B151" i="4"/>
  <c r="R151" i="4" s="1"/>
  <c r="B152" i="4"/>
  <c r="L154" i="4"/>
  <c r="B147" i="4"/>
  <c r="P147" i="4" s="1"/>
  <c r="S155" i="4"/>
  <c r="B146" i="4"/>
  <c r="Q146" i="4" s="1"/>
  <c r="O156" i="4"/>
  <c r="M156" i="4"/>
  <c r="L156" i="4"/>
  <c r="S156" i="4"/>
  <c r="P155" i="4"/>
  <c r="N155" i="4"/>
  <c r="M155" i="4"/>
  <c r="L155" i="4"/>
  <c r="M146" i="4"/>
  <c r="B303" i="1"/>
  <c r="B313" i="1"/>
  <c r="Q312" i="1"/>
  <c r="Q311" i="1"/>
  <c r="B310" i="1"/>
  <c r="B308" i="1"/>
  <c r="B307" i="1"/>
  <c r="B305" i="1"/>
  <c r="Q305" i="1" s="1"/>
  <c r="F209" i="16"/>
  <c r="G209" i="16"/>
  <c r="D204" i="16"/>
  <c r="G204" i="16"/>
  <c r="E209" i="15"/>
  <c r="B204" i="15"/>
  <c r="F209" i="14"/>
  <c r="C204" i="14"/>
  <c r="B204" i="14"/>
  <c r="C209" i="13"/>
  <c r="E209" i="13"/>
  <c r="B209" i="13"/>
  <c r="C204" i="13"/>
  <c r="C209" i="12"/>
  <c r="I209" i="12"/>
  <c r="K209" i="12"/>
  <c r="E204" i="12"/>
  <c r="I209" i="11"/>
  <c r="E204" i="11"/>
  <c r="F209" i="10"/>
  <c r="D209" i="10"/>
  <c r="D209" i="8"/>
  <c r="I209" i="8"/>
  <c r="G209" i="8"/>
  <c r="F204" i="8"/>
  <c r="D204" i="8"/>
  <c r="D209" i="7"/>
  <c r="F209" i="7"/>
  <c r="F204" i="7"/>
  <c r="D209" i="6"/>
  <c r="H204" i="6"/>
  <c r="C209" i="4"/>
  <c r="D209" i="4"/>
  <c r="D204" i="4"/>
  <c r="B301" i="1"/>
  <c r="K144" i="16"/>
  <c r="H144" i="15"/>
  <c r="H144" i="14"/>
  <c r="L144" i="13"/>
  <c r="L144" i="12"/>
  <c r="G204" i="12"/>
  <c r="D204" i="12"/>
  <c r="L144" i="11"/>
  <c r="K204" i="11"/>
  <c r="C204" i="11"/>
  <c r="L144" i="10"/>
  <c r="L144" i="8"/>
  <c r="I144" i="7"/>
  <c r="G204" i="7"/>
  <c r="K144" i="6"/>
  <c r="E204" i="6"/>
  <c r="C204" i="6"/>
  <c r="G204" i="4"/>
  <c r="B144" i="4"/>
  <c r="M144" i="4" s="1"/>
  <c r="B300" i="1"/>
  <c r="P300" i="1" s="1"/>
  <c r="K143" i="16"/>
  <c r="H143" i="15"/>
  <c r="H143" i="14"/>
  <c r="L143" i="13"/>
  <c r="L143" i="12"/>
  <c r="L143" i="11"/>
  <c r="L143" i="10"/>
  <c r="L143" i="8"/>
  <c r="I143" i="7"/>
  <c r="K143" i="6"/>
  <c r="B143" i="4"/>
  <c r="P143" i="4" s="1"/>
  <c r="B299" i="1"/>
  <c r="O299" i="1" s="1"/>
  <c r="K142" i="16"/>
  <c r="H142" i="15"/>
  <c r="H142" i="14"/>
  <c r="L142" i="13"/>
  <c r="L142" i="12"/>
  <c r="L142" i="11"/>
  <c r="L142" i="10"/>
  <c r="L142" i="8"/>
  <c r="I142" i="7"/>
  <c r="K142" i="6"/>
  <c r="B142" i="4"/>
  <c r="R142" i="4" s="1"/>
  <c r="B298" i="1"/>
  <c r="Q298" i="1" s="1"/>
  <c r="K141" i="16"/>
  <c r="H141" i="15"/>
  <c r="B196" i="15"/>
  <c r="L128" i="12"/>
  <c r="L140" i="12"/>
  <c r="L122" i="12"/>
  <c r="L123" i="12"/>
  <c r="L124" i="12"/>
  <c r="L125" i="12"/>
  <c r="L126" i="12"/>
  <c r="L127" i="12"/>
  <c r="L122" i="10"/>
  <c r="C194" i="10"/>
  <c r="D194" i="10"/>
  <c r="E194" i="10"/>
  <c r="F194" i="10"/>
  <c r="G194" i="10"/>
  <c r="H194" i="10"/>
  <c r="I194" i="10"/>
  <c r="J194" i="10"/>
  <c r="C195" i="10"/>
  <c r="D195" i="10"/>
  <c r="E195" i="10"/>
  <c r="F195" i="10"/>
  <c r="G195" i="10"/>
  <c r="H195" i="10"/>
  <c r="I195" i="10"/>
  <c r="J195" i="10"/>
  <c r="K195" i="10"/>
  <c r="C196" i="10"/>
  <c r="D196" i="10"/>
  <c r="E196" i="10"/>
  <c r="F196" i="10"/>
  <c r="G196" i="10"/>
  <c r="H196" i="10"/>
  <c r="I196" i="10"/>
  <c r="J196" i="10"/>
  <c r="K196" i="10"/>
  <c r="B196" i="10"/>
  <c r="B195" i="10"/>
  <c r="B365" i="1"/>
  <c r="B196" i="6"/>
  <c r="B194" i="6"/>
  <c r="I196" i="16"/>
  <c r="H196" i="16"/>
  <c r="G196" i="16"/>
  <c r="F196" i="16"/>
  <c r="E196" i="16"/>
  <c r="D196" i="16"/>
  <c r="C196" i="16"/>
  <c r="B196" i="16"/>
  <c r="J134" i="16"/>
  <c r="K145" i="16"/>
  <c r="K140" i="16"/>
  <c r="K139" i="16"/>
  <c r="K137" i="16"/>
  <c r="K136" i="16"/>
  <c r="K135" i="16"/>
  <c r="F196" i="15"/>
  <c r="E196" i="15"/>
  <c r="D196" i="15"/>
  <c r="C196" i="15"/>
  <c r="G134" i="15"/>
  <c r="H145" i="15"/>
  <c r="H140" i="15"/>
  <c r="H139" i="15"/>
  <c r="H137" i="15"/>
  <c r="H136" i="15"/>
  <c r="H135" i="15"/>
  <c r="G196" i="14"/>
  <c r="F196" i="14"/>
  <c r="E196" i="14"/>
  <c r="D196" i="14"/>
  <c r="C196" i="14"/>
  <c r="B196" i="14"/>
  <c r="H145" i="14"/>
  <c r="H141" i="14"/>
  <c r="H140" i="14"/>
  <c r="H139" i="14"/>
  <c r="H137" i="14"/>
  <c r="H136" i="14"/>
  <c r="H135" i="14"/>
  <c r="H134" i="14"/>
  <c r="K196" i="13"/>
  <c r="J196" i="13"/>
  <c r="I196" i="13"/>
  <c r="H196" i="13"/>
  <c r="G196" i="13"/>
  <c r="F196" i="13"/>
  <c r="E196" i="13"/>
  <c r="D196" i="13"/>
  <c r="C196" i="13"/>
  <c r="B196" i="13"/>
  <c r="L145" i="13"/>
  <c r="L141" i="13"/>
  <c r="L140" i="13"/>
  <c r="L139" i="13"/>
  <c r="L137" i="13"/>
  <c r="L136" i="13"/>
  <c r="L135" i="13"/>
  <c r="L134" i="13"/>
  <c r="K196" i="12"/>
  <c r="J196" i="12"/>
  <c r="I196" i="12"/>
  <c r="H196" i="12"/>
  <c r="G196" i="12"/>
  <c r="F196" i="12"/>
  <c r="E196" i="12"/>
  <c r="D196" i="12"/>
  <c r="C196" i="12"/>
  <c r="B196" i="12"/>
  <c r="L145" i="12"/>
  <c r="L141" i="12"/>
  <c r="L139" i="12"/>
  <c r="L137" i="12"/>
  <c r="L136" i="12"/>
  <c r="L135" i="12"/>
  <c r="L134" i="12"/>
  <c r="K196" i="11"/>
  <c r="J196" i="11"/>
  <c r="I196" i="11"/>
  <c r="H196" i="11"/>
  <c r="G196" i="11"/>
  <c r="F196" i="11"/>
  <c r="E196" i="11"/>
  <c r="D196" i="11"/>
  <c r="C196" i="11"/>
  <c r="B196" i="11"/>
  <c r="B195" i="11"/>
  <c r="L145" i="11"/>
  <c r="L141" i="11"/>
  <c r="L140" i="11"/>
  <c r="L139" i="11"/>
  <c r="L137" i="11"/>
  <c r="L136" i="11"/>
  <c r="L135" i="11"/>
  <c r="L134" i="11"/>
  <c r="L145" i="10"/>
  <c r="L141" i="10"/>
  <c r="L140" i="10"/>
  <c r="L139" i="10"/>
  <c r="L137" i="10"/>
  <c r="L136" i="10"/>
  <c r="L135" i="10"/>
  <c r="L134" i="10"/>
  <c r="C196" i="8"/>
  <c r="J196" i="8"/>
  <c r="I196" i="8"/>
  <c r="H196" i="8"/>
  <c r="G196" i="8"/>
  <c r="F196" i="8"/>
  <c r="E196" i="8"/>
  <c r="D196" i="8"/>
  <c r="B196" i="8"/>
  <c r="B195" i="8"/>
  <c r="K134" i="8"/>
  <c r="L145" i="8"/>
  <c r="L141" i="8"/>
  <c r="L140" i="8"/>
  <c r="L139" i="8"/>
  <c r="L137" i="8"/>
  <c r="L136" i="8"/>
  <c r="L135" i="8"/>
  <c r="L134" i="8"/>
  <c r="H196" i="7"/>
  <c r="G196" i="7"/>
  <c r="F196" i="7"/>
  <c r="E196" i="7"/>
  <c r="D196" i="7"/>
  <c r="C196" i="7"/>
  <c r="B196" i="7"/>
  <c r="I145" i="7"/>
  <c r="I141" i="7"/>
  <c r="I140" i="7"/>
  <c r="I139" i="7"/>
  <c r="I137" i="7"/>
  <c r="I136" i="7"/>
  <c r="I135" i="7"/>
  <c r="I134" i="7"/>
  <c r="K145" i="6"/>
  <c r="K141" i="6"/>
  <c r="K140" i="6"/>
  <c r="K139" i="6"/>
  <c r="K137" i="6"/>
  <c r="K136" i="6"/>
  <c r="K135" i="6"/>
  <c r="J134" i="6"/>
  <c r="K134" i="6" s="1"/>
  <c r="I196" i="6"/>
  <c r="H196" i="6"/>
  <c r="G196" i="6"/>
  <c r="F196" i="6"/>
  <c r="E196" i="6"/>
  <c r="D196" i="6"/>
  <c r="C196" i="6"/>
  <c r="J196" i="4"/>
  <c r="I196" i="4"/>
  <c r="H196" i="4"/>
  <c r="G196" i="4"/>
  <c r="F196" i="4"/>
  <c r="E196" i="4"/>
  <c r="D196" i="4"/>
  <c r="C196" i="4"/>
  <c r="B145" i="4"/>
  <c r="O145" i="4" s="1"/>
  <c r="B141" i="4"/>
  <c r="S141" i="4" s="1"/>
  <c r="B140" i="4"/>
  <c r="O140" i="4" s="1"/>
  <c r="B139" i="4"/>
  <c r="M139" i="4" s="1"/>
  <c r="B138" i="4"/>
  <c r="P138" i="4" s="1"/>
  <c r="K134" i="16"/>
  <c r="J196" i="16"/>
  <c r="L141" i="4"/>
  <c r="N141" i="4"/>
  <c r="B134" i="4"/>
  <c r="S134" i="4" s="1"/>
  <c r="B135" i="4"/>
  <c r="O135" i="4" s="1"/>
  <c r="R141" i="4"/>
  <c r="B136" i="4"/>
  <c r="L136" i="4" s="1"/>
  <c r="R144" i="4"/>
  <c r="B137" i="4"/>
  <c r="P137" i="4" s="1"/>
  <c r="B294" i="1"/>
  <c r="L294" i="1" s="1"/>
  <c r="B293" i="1"/>
  <c r="L293" i="1" s="1"/>
  <c r="B292" i="1"/>
  <c r="L292" i="1" s="1"/>
  <c r="B291" i="1"/>
  <c r="B290" i="1"/>
  <c r="B297" i="1"/>
  <c r="N297" i="1" s="1"/>
  <c r="B296" i="1"/>
  <c r="L296" i="1" s="1"/>
  <c r="B295" i="1"/>
  <c r="P295" i="1" s="1"/>
  <c r="N294" i="1"/>
  <c r="O294" i="1"/>
  <c r="M294" i="1"/>
  <c r="P294" i="1"/>
  <c r="Q294" i="1"/>
  <c r="C185" i="4"/>
  <c r="D185" i="4"/>
  <c r="E185" i="4"/>
  <c r="F185" i="4"/>
  <c r="G185" i="4"/>
  <c r="H185" i="4"/>
  <c r="I185" i="4"/>
  <c r="H128" i="7"/>
  <c r="H204" i="7" s="1"/>
  <c r="B127" i="4"/>
  <c r="L127" i="4" s="1"/>
  <c r="B126" i="4"/>
  <c r="O126" i="4" s="1"/>
  <c r="B204" i="13"/>
  <c r="J125" i="4"/>
  <c r="J124" i="4"/>
  <c r="B124" i="4" s="1"/>
  <c r="J123" i="4"/>
  <c r="B123" i="4" s="1"/>
  <c r="J195" i="16"/>
  <c r="I195" i="16"/>
  <c r="H195" i="16"/>
  <c r="G195" i="16"/>
  <c r="F195" i="16"/>
  <c r="E195" i="16"/>
  <c r="D195" i="16"/>
  <c r="C195" i="16"/>
  <c r="B195" i="16"/>
  <c r="K124" i="16"/>
  <c r="K123" i="16"/>
  <c r="K133" i="16"/>
  <c r="K132" i="16"/>
  <c r="K131" i="16"/>
  <c r="K130" i="16"/>
  <c r="K129" i="16"/>
  <c r="K128" i="16"/>
  <c r="K127" i="16"/>
  <c r="K126" i="16"/>
  <c r="K125" i="16"/>
  <c r="K122" i="16"/>
  <c r="G195" i="14"/>
  <c r="F195" i="14"/>
  <c r="E195" i="14"/>
  <c r="D195" i="14"/>
  <c r="C195" i="14"/>
  <c r="B195" i="14"/>
  <c r="H124" i="14"/>
  <c r="H123" i="14"/>
  <c r="H122" i="14"/>
  <c r="H133" i="14"/>
  <c r="H132" i="14"/>
  <c r="H131" i="14"/>
  <c r="H130" i="14"/>
  <c r="H129" i="14"/>
  <c r="H128" i="14"/>
  <c r="H127" i="14"/>
  <c r="H126" i="14"/>
  <c r="H125" i="14"/>
  <c r="G195" i="15"/>
  <c r="F195" i="15"/>
  <c r="E195" i="15"/>
  <c r="D195" i="15"/>
  <c r="C195" i="15"/>
  <c r="B195" i="15"/>
  <c r="H124" i="15"/>
  <c r="H123" i="15"/>
  <c r="H122" i="15"/>
  <c r="H133" i="15"/>
  <c r="H132" i="15"/>
  <c r="H131" i="15"/>
  <c r="H130" i="15"/>
  <c r="H129" i="15"/>
  <c r="H128" i="15"/>
  <c r="H127" i="15"/>
  <c r="H126" i="15"/>
  <c r="H125" i="15"/>
  <c r="K195" i="13"/>
  <c r="J195" i="13"/>
  <c r="I195" i="13"/>
  <c r="H195" i="13"/>
  <c r="G195" i="13"/>
  <c r="F195" i="13"/>
  <c r="E195" i="13"/>
  <c r="D195" i="13"/>
  <c r="C195" i="13"/>
  <c r="B195" i="13"/>
  <c r="L124" i="13"/>
  <c r="L123" i="13"/>
  <c r="L122" i="13"/>
  <c r="L133" i="13"/>
  <c r="L132" i="13"/>
  <c r="L131" i="13"/>
  <c r="L130" i="13"/>
  <c r="L129" i="13"/>
  <c r="L128" i="13"/>
  <c r="L127" i="13"/>
  <c r="L126" i="13"/>
  <c r="L125" i="13"/>
  <c r="K195" i="12"/>
  <c r="J195" i="12"/>
  <c r="I195" i="12"/>
  <c r="H195" i="12"/>
  <c r="G195" i="12"/>
  <c r="F195" i="12"/>
  <c r="E195" i="12"/>
  <c r="D195" i="12"/>
  <c r="C195" i="12"/>
  <c r="B195" i="12"/>
  <c r="L133" i="12"/>
  <c r="L132" i="12"/>
  <c r="L131" i="12"/>
  <c r="L130" i="12"/>
  <c r="L129" i="12"/>
  <c r="K195" i="11"/>
  <c r="J195" i="11"/>
  <c r="I195" i="11"/>
  <c r="H195" i="11"/>
  <c r="G195" i="11"/>
  <c r="F195" i="11"/>
  <c r="E195" i="11"/>
  <c r="D195" i="11"/>
  <c r="C195" i="11"/>
  <c r="B194" i="11"/>
  <c r="L133" i="11"/>
  <c r="L131" i="11"/>
  <c r="L123" i="11"/>
  <c r="L122" i="11"/>
  <c r="L132" i="11"/>
  <c r="L130" i="11"/>
  <c r="L129" i="11"/>
  <c r="L128" i="11"/>
  <c r="L127" i="11"/>
  <c r="L126" i="11"/>
  <c r="L125" i="11"/>
  <c r="L124" i="11"/>
  <c r="L123" i="10"/>
  <c r="L133" i="10"/>
  <c r="L132" i="10"/>
  <c r="L131" i="10"/>
  <c r="L130" i="10"/>
  <c r="L129" i="10"/>
  <c r="L128" i="10"/>
  <c r="L127" i="10"/>
  <c r="L126" i="10"/>
  <c r="L125" i="10"/>
  <c r="L124" i="10"/>
  <c r="H195" i="7"/>
  <c r="G195" i="7"/>
  <c r="F195" i="7"/>
  <c r="E195" i="7"/>
  <c r="D195" i="7"/>
  <c r="D194" i="7"/>
  <c r="C195" i="7"/>
  <c r="B195" i="7"/>
  <c r="B193" i="7"/>
  <c r="C194" i="7"/>
  <c r="B194" i="7"/>
  <c r="K195" i="8"/>
  <c r="J195" i="8"/>
  <c r="I195" i="8"/>
  <c r="H195" i="8"/>
  <c r="G195" i="8"/>
  <c r="F195" i="8"/>
  <c r="E195" i="8"/>
  <c r="D195" i="8"/>
  <c r="C195" i="8"/>
  <c r="B194" i="8"/>
  <c r="I123" i="7"/>
  <c r="I133" i="7"/>
  <c r="I132" i="7"/>
  <c r="I131" i="7"/>
  <c r="I130" i="7"/>
  <c r="I129" i="7"/>
  <c r="I128" i="7"/>
  <c r="I127" i="7"/>
  <c r="I126" i="7"/>
  <c r="I125" i="7"/>
  <c r="I124" i="7"/>
  <c r="I122" i="7"/>
  <c r="L122" i="8"/>
  <c r="L123" i="8"/>
  <c r="L124" i="8"/>
  <c r="L131" i="8"/>
  <c r="L132" i="8"/>
  <c r="L133" i="8"/>
  <c r="L130" i="8"/>
  <c r="L129" i="8"/>
  <c r="L128" i="8"/>
  <c r="L127" i="8"/>
  <c r="L126" i="8"/>
  <c r="L125" i="8"/>
  <c r="K122" i="6"/>
  <c r="J195" i="6"/>
  <c r="I195" i="6"/>
  <c r="H195" i="6"/>
  <c r="G195" i="6"/>
  <c r="F195" i="6"/>
  <c r="E195" i="6"/>
  <c r="D195" i="6"/>
  <c r="C195" i="6"/>
  <c r="B195" i="6"/>
  <c r="K126" i="6"/>
  <c r="K125" i="6"/>
  <c r="K124" i="6"/>
  <c r="K123" i="6"/>
  <c r="K133" i="6"/>
  <c r="K132" i="6"/>
  <c r="K131" i="6"/>
  <c r="K130" i="6"/>
  <c r="K129" i="6"/>
  <c r="K128" i="6"/>
  <c r="K127" i="6"/>
  <c r="J122" i="4"/>
  <c r="B122" i="4" s="1"/>
  <c r="I195" i="4"/>
  <c r="H195" i="4"/>
  <c r="G195" i="4"/>
  <c r="F195" i="4"/>
  <c r="E195" i="4"/>
  <c r="D195" i="4"/>
  <c r="C195" i="4"/>
  <c r="B133" i="4"/>
  <c r="L133" i="4" s="1"/>
  <c r="B132" i="4"/>
  <c r="L132" i="4" s="1"/>
  <c r="B131" i="4"/>
  <c r="S131" i="4" s="1"/>
  <c r="B130" i="4"/>
  <c r="R130" i="4" s="1"/>
  <c r="B129" i="4"/>
  <c r="O129" i="4" s="1"/>
  <c r="B128" i="4"/>
  <c r="S128" i="4" s="1"/>
  <c r="B278" i="1"/>
  <c r="L278" i="1" s="1"/>
  <c r="B289" i="1"/>
  <c r="B288" i="1"/>
  <c r="M288" i="1" s="1"/>
  <c r="B287" i="1"/>
  <c r="Q287" i="1" s="1"/>
  <c r="B286" i="1"/>
  <c r="Q286" i="1" s="1"/>
  <c r="B285" i="1"/>
  <c r="N285" i="1" s="1"/>
  <c r="B284" i="1"/>
  <c r="M284" i="1" s="1"/>
  <c r="B283" i="1"/>
  <c r="K283" i="1" s="1"/>
  <c r="B282" i="1"/>
  <c r="K282" i="1" s="1"/>
  <c r="B281" i="1"/>
  <c r="P281" i="1" s="1"/>
  <c r="B280" i="1"/>
  <c r="P280" i="1" s="1"/>
  <c r="B279" i="1"/>
  <c r="Q279" i="1" s="1"/>
  <c r="B266" i="1"/>
  <c r="O266" i="1" s="1"/>
  <c r="B275" i="1"/>
  <c r="Q275" i="1" s="1"/>
  <c r="I385" i="1"/>
  <c r="H385" i="1"/>
  <c r="G385" i="1"/>
  <c r="F385" i="1"/>
  <c r="E385" i="1"/>
  <c r="D385" i="1"/>
  <c r="C385" i="1"/>
  <c r="N130" i="4"/>
  <c r="S130" i="4"/>
  <c r="S126" i="4"/>
  <c r="P129" i="4"/>
  <c r="M130" i="4"/>
  <c r="Q130" i="4"/>
  <c r="M133" i="4"/>
  <c r="N133" i="4"/>
  <c r="O130" i="4"/>
  <c r="O133" i="4"/>
  <c r="O289" i="1"/>
  <c r="J121" i="16"/>
  <c r="K121" i="16" s="1"/>
  <c r="G121" i="15"/>
  <c r="H121" i="15" s="1"/>
  <c r="G121" i="14"/>
  <c r="H121" i="14" s="1"/>
  <c r="K121" i="10"/>
  <c r="B121" i="10"/>
  <c r="H121" i="7"/>
  <c r="I121" i="7" s="1"/>
  <c r="J121" i="6"/>
  <c r="J121" i="4"/>
  <c r="B121" i="4" s="1"/>
  <c r="J185" i="4"/>
  <c r="C186" i="4"/>
  <c r="D186" i="4"/>
  <c r="E186" i="4"/>
  <c r="F186" i="4"/>
  <c r="G186" i="4"/>
  <c r="H186" i="4"/>
  <c r="I186" i="4"/>
  <c r="J186" i="4"/>
  <c r="C187" i="4"/>
  <c r="D187" i="4"/>
  <c r="E187" i="4"/>
  <c r="F187" i="4"/>
  <c r="G187" i="4"/>
  <c r="H187" i="4"/>
  <c r="I187" i="4"/>
  <c r="J187" i="4"/>
  <c r="C188" i="4"/>
  <c r="D188" i="4"/>
  <c r="E188" i="4"/>
  <c r="F188" i="4"/>
  <c r="G188" i="4"/>
  <c r="H188" i="4"/>
  <c r="I188" i="4"/>
  <c r="J188" i="4"/>
  <c r="C189" i="4"/>
  <c r="D189" i="4"/>
  <c r="E189" i="4"/>
  <c r="F189" i="4"/>
  <c r="G189" i="4"/>
  <c r="H189" i="4"/>
  <c r="I189" i="4"/>
  <c r="J189" i="4"/>
  <c r="C190" i="4"/>
  <c r="D190" i="4"/>
  <c r="E190" i="4"/>
  <c r="G190" i="4"/>
  <c r="H190" i="4"/>
  <c r="I190" i="4"/>
  <c r="J190" i="4"/>
  <c r="B276" i="1"/>
  <c r="Q276" i="1" s="1"/>
  <c r="J120" i="4"/>
  <c r="J119" i="4"/>
  <c r="B119" i="4" s="1"/>
  <c r="G209" i="4"/>
  <c r="L121" i="12"/>
  <c r="L120" i="12"/>
  <c r="L119" i="12"/>
  <c r="L118" i="12"/>
  <c r="K118" i="10"/>
  <c r="B118" i="10"/>
  <c r="L118" i="10" s="1"/>
  <c r="H118" i="7"/>
  <c r="I118" i="7" s="1"/>
  <c r="J118" i="6"/>
  <c r="K118" i="6" s="1"/>
  <c r="J118" i="4"/>
  <c r="B118" i="4" s="1"/>
  <c r="J117" i="16"/>
  <c r="G117" i="15"/>
  <c r="G117" i="14"/>
  <c r="H117" i="14" s="1"/>
  <c r="L117" i="12"/>
  <c r="J117" i="4"/>
  <c r="S117" i="4" s="1"/>
  <c r="B117" i="4"/>
  <c r="M117" i="4" s="1"/>
  <c r="B273" i="1"/>
  <c r="O273" i="1" s="1"/>
  <c r="G116" i="15"/>
  <c r="H116" i="15" s="1"/>
  <c r="G116" i="14"/>
  <c r="L116" i="12"/>
  <c r="J116" i="6"/>
  <c r="K116" i="6" s="1"/>
  <c r="J116" i="4"/>
  <c r="J115" i="16"/>
  <c r="K115" i="16"/>
  <c r="G115" i="15"/>
  <c r="H115" i="15" s="1"/>
  <c r="G115" i="14"/>
  <c r="L115" i="12"/>
  <c r="K115" i="10"/>
  <c r="B115" i="10"/>
  <c r="H115" i="7"/>
  <c r="I115" i="7" s="1"/>
  <c r="J115" i="4"/>
  <c r="B270" i="1"/>
  <c r="M270" i="1" s="1"/>
  <c r="J114" i="16"/>
  <c r="K114" i="16" s="1"/>
  <c r="G114" i="15"/>
  <c r="H114" i="15" s="1"/>
  <c r="G114" i="14"/>
  <c r="H114" i="14" s="1"/>
  <c r="L114" i="12"/>
  <c r="K114" i="10"/>
  <c r="B114" i="10"/>
  <c r="H114" i="7"/>
  <c r="I114" i="7" s="1"/>
  <c r="F185" i="6"/>
  <c r="E185" i="6"/>
  <c r="J114" i="6"/>
  <c r="J113" i="16"/>
  <c r="K113" i="16" s="1"/>
  <c r="B185" i="14"/>
  <c r="G113" i="14"/>
  <c r="L113" i="12"/>
  <c r="K113" i="11"/>
  <c r="L113" i="11" s="1"/>
  <c r="K113" i="10"/>
  <c r="L113" i="10" s="1"/>
  <c r="B113" i="10"/>
  <c r="I113" i="7"/>
  <c r="B269" i="1"/>
  <c r="Q269" i="1" s="1"/>
  <c r="L112" i="11"/>
  <c r="K112" i="10"/>
  <c r="B112" i="10"/>
  <c r="L112" i="8"/>
  <c r="H112" i="7"/>
  <c r="H194" i="7" s="1"/>
  <c r="B268" i="1"/>
  <c r="L268" i="1" s="1"/>
  <c r="B194" i="12"/>
  <c r="C194" i="12"/>
  <c r="D194" i="12"/>
  <c r="E194" i="12"/>
  <c r="F194" i="12"/>
  <c r="G194" i="12"/>
  <c r="H194" i="12"/>
  <c r="I194" i="12"/>
  <c r="J194" i="12"/>
  <c r="K194" i="12"/>
  <c r="B111" i="4"/>
  <c r="Q111" i="4" s="1"/>
  <c r="B112" i="4"/>
  <c r="M112" i="4" s="1"/>
  <c r="B113" i="4"/>
  <c r="O113" i="4" s="1"/>
  <c r="B114" i="4"/>
  <c r="N114" i="4" s="1"/>
  <c r="B120" i="4"/>
  <c r="P120" i="4" s="1"/>
  <c r="B267" i="1"/>
  <c r="Q267" i="1" s="1"/>
  <c r="B271" i="1"/>
  <c r="Q271" i="1" s="1"/>
  <c r="B272" i="1"/>
  <c r="O272" i="1" s="1"/>
  <c r="B274" i="1"/>
  <c r="O274" i="1" s="1"/>
  <c r="B277" i="1"/>
  <c r="K277" i="1" s="1"/>
  <c r="B99" i="4"/>
  <c r="Q99" i="4" s="1"/>
  <c r="B100" i="4"/>
  <c r="N100" i="4" s="1"/>
  <c r="B101" i="4"/>
  <c r="L101" i="4" s="1"/>
  <c r="B102" i="4"/>
  <c r="Q102" i="4" s="1"/>
  <c r="B103" i="4"/>
  <c r="L103" i="4" s="1"/>
  <c r="B104" i="4"/>
  <c r="S104" i="4" s="1"/>
  <c r="B105" i="4"/>
  <c r="N105" i="4" s="1"/>
  <c r="B106" i="4"/>
  <c r="O106" i="4" s="1"/>
  <c r="B107" i="4"/>
  <c r="R107" i="4" s="1"/>
  <c r="B108" i="4"/>
  <c r="P108" i="4" s="1"/>
  <c r="B109" i="4"/>
  <c r="S109" i="4" s="1"/>
  <c r="B110" i="4"/>
  <c r="B194" i="16"/>
  <c r="C194" i="16"/>
  <c r="D194" i="16"/>
  <c r="E194" i="16"/>
  <c r="F194" i="16"/>
  <c r="G194" i="16"/>
  <c r="H194" i="16"/>
  <c r="I194" i="16"/>
  <c r="K116" i="16"/>
  <c r="K117" i="16"/>
  <c r="K118" i="16"/>
  <c r="K119" i="16"/>
  <c r="K120" i="16"/>
  <c r="K110" i="16"/>
  <c r="B194" i="15"/>
  <c r="C194" i="15"/>
  <c r="D194" i="15"/>
  <c r="E194" i="15"/>
  <c r="F194" i="15"/>
  <c r="H113" i="15"/>
  <c r="H117" i="15"/>
  <c r="H118" i="15"/>
  <c r="H119" i="15"/>
  <c r="H120" i="15"/>
  <c r="H110" i="15"/>
  <c r="B194" i="14"/>
  <c r="C194" i="14"/>
  <c r="D194" i="14"/>
  <c r="E194" i="14"/>
  <c r="F194" i="14"/>
  <c r="H113" i="14"/>
  <c r="H116" i="14"/>
  <c r="H118" i="14"/>
  <c r="H119" i="14"/>
  <c r="H120" i="14"/>
  <c r="H110" i="14"/>
  <c r="B194" i="13"/>
  <c r="C194" i="13"/>
  <c r="D194" i="13"/>
  <c r="E194" i="13"/>
  <c r="F194" i="13"/>
  <c r="G194" i="13"/>
  <c r="H194" i="13"/>
  <c r="I194" i="13"/>
  <c r="J194" i="13"/>
  <c r="K194" i="13"/>
  <c r="L113" i="13"/>
  <c r="L114" i="13"/>
  <c r="L115" i="13"/>
  <c r="L116" i="13"/>
  <c r="L117" i="13"/>
  <c r="L118" i="13"/>
  <c r="L119" i="13"/>
  <c r="L120" i="13"/>
  <c r="L121" i="13"/>
  <c r="L110" i="13"/>
  <c r="L110" i="12"/>
  <c r="C194" i="11"/>
  <c r="D194" i="11"/>
  <c r="E194" i="11"/>
  <c r="F194" i="11"/>
  <c r="G194" i="11"/>
  <c r="H194" i="11"/>
  <c r="I194" i="11"/>
  <c r="J194" i="11"/>
  <c r="L114" i="11"/>
  <c r="L115" i="11"/>
  <c r="L116" i="11"/>
  <c r="L117" i="11"/>
  <c r="L118" i="11"/>
  <c r="L119" i="11"/>
  <c r="L120" i="11"/>
  <c r="L121" i="11"/>
  <c r="L110" i="11"/>
  <c r="L110" i="10"/>
  <c r="L116" i="10"/>
  <c r="L117" i="10"/>
  <c r="L119" i="10"/>
  <c r="L120" i="10"/>
  <c r="C185" i="8"/>
  <c r="D185" i="8"/>
  <c r="E185" i="8"/>
  <c r="F185" i="8"/>
  <c r="G185" i="8"/>
  <c r="H185" i="8"/>
  <c r="I185" i="8"/>
  <c r="J185" i="8"/>
  <c r="K185" i="8"/>
  <c r="C186" i="8"/>
  <c r="D186" i="8"/>
  <c r="E186" i="8"/>
  <c r="F186" i="8"/>
  <c r="G186" i="8"/>
  <c r="H186" i="8"/>
  <c r="I186" i="8"/>
  <c r="J186" i="8"/>
  <c r="K186" i="8"/>
  <c r="C187" i="8"/>
  <c r="D187" i="8"/>
  <c r="E187" i="8"/>
  <c r="F187" i="8"/>
  <c r="G187" i="8"/>
  <c r="H187" i="8"/>
  <c r="I187" i="8"/>
  <c r="J187" i="8"/>
  <c r="K187" i="8"/>
  <c r="C188" i="8"/>
  <c r="D188" i="8"/>
  <c r="E188" i="8"/>
  <c r="F188" i="8"/>
  <c r="G188" i="8"/>
  <c r="H188" i="8"/>
  <c r="I188" i="8"/>
  <c r="J188" i="8"/>
  <c r="K188" i="8"/>
  <c r="C189" i="8"/>
  <c r="D189" i="8"/>
  <c r="E189" i="8"/>
  <c r="F189" i="8"/>
  <c r="G189" i="8"/>
  <c r="H189" i="8"/>
  <c r="I189" i="8"/>
  <c r="J189" i="8"/>
  <c r="K189" i="8"/>
  <c r="C190" i="8"/>
  <c r="D190" i="8"/>
  <c r="E190" i="8"/>
  <c r="F190" i="8"/>
  <c r="G190" i="8"/>
  <c r="H190" i="8"/>
  <c r="I190" i="8"/>
  <c r="J190" i="8"/>
  <c r="K190" i="8"/>
  <c r="C191" i="8"/>
  <c r="D191" i="8"/>
  <c r="E191" i="8"/>
  <c r="F191" i="8"/>
  <c r="G191" i="8"/>
  <c r="H191" i="8"/>
  <c r="I191" i="8"/>
  <c r="J191" i="8"/>
  <c r="K191" i="8"/>
  <c r="C192" i="8"/>
  <c r="D192" i="8"/>
  <c r="E192" i="8"/>
  <c r="F192" i="8"/>
  <c r="G192" i="8"/>
  <c r="H192" i="8"/>
  <c r="I192" i="8"/>
  <c r="J192" i="8"/>
  <c r="K192" i="8"/>
  <c r="C193" i="8"/>
  <c r="D193" i="8"/>
  <c r="E193" i="8"/>
  <c r="F193" i="8"/>
  <c r="G193" i="8"/>
  <c r="H193" i="8"/>
  <c r="I193" i="8"/>
  <c r="J193" i="8"/>
  <c r="K193" i="8"/>
  <c r="C194" i="8"/>
  <c r="D194" i="8"/>
  <c r="E194" i="8"/>
  <c r="F194" i="8"/>
  <c r="G194" i="8"/>
  <c r="H194" i="8"/>
  <c r="I194" i="8"/>
  <c r="J194" i="8"/>
  <c r="K194" i="8"/>
  <c r="B193" i="8"/>
  <c r="B192" i="8"/>
  <c r="B190" i="8"/>
  <c r="B189" i="8"/>
  <c r="B188" i="8"/>
  <c r="B187" i="8"/>
  <c r="B186" i="8"/>
  <c r="B185" i="8"/>
  <c r="B191" i="8"/>
  <c r="L109" i="8"/>
  <c r="L110" i="8"/>
  <c r="L113" i="8"/>
  <c r="L114" i="8"/>
  <c r="L115" i="8"/>
  <c r="L116" i="8"/>
  <c r="L117" i="8"/>
  <c r="L118" i="8"/>
  <c r="L119" i="8"/>
  <c r="L120" i="8"/>
  <c r="L121" i="8"/>
  <c r="E194" i="7"/>
  <c r="F194" i="7"/>
  <c r="G194" i="7"/>
  <c r="C194" i="6"/>
  <c r="D194" i="6"/>
  <c r="E194" i="6"/>
  <c r="F194" i="6"/>
  <c r="G194" i="6"/>
  <c r="H194" i="6"/>
  <c r="I194" i="6"/>
  <c r="I108" i="7"/>
  <c r="I109" i="7"/>
  <c r="I110" i="7"/>
  <c r="I116" i="7"/>
  <c r="I117" i="7"/>
  <c r="I119" i="7"/>
  <c r="I120" i="7"/>
  <c r="C194" i="4"/>
  <c r="D194" i="4"/>
  <c r="E194" i="4"/>
  <c r="F194" i="4"/>
  <c r="G194" i="4"/>
  <c r="H194" i="4"/>
  <c r="I194" i="4"/>
  <c r="K107" i="6"/>
  <c r="K108" i="6"/>
  <c r="K109" i="6"/>
  <c r="K110" i="6"/>
  <c r="K111" i="6"/>
  <c r="K113" i="6"/>
  <c r="K114" i="6"/>
  <c r="K115" i="6"/>
  <c r="K117" i="6"/>
  <c r="K119" i="6"/>
  <c r="K120" i="6"/>
  <c r="K121" i="6"/>
  <c r="C384" i="1"/>
  <c r="D384" i="1"/>
  <c r="E384" i="1"/>
  <c r="F384" i="1"/>
  <c r="G384" i="1"/>
  <c r="H384" i="1"/>
  <c r="I384" i="1"/>
  <c r="B265" i="1"/>
  <c r="K265" i="1" s="1"/>
  <c r="B262" i="1"/>
  <c r="O262" i="1" s="1"/>
  <c r="B259" i="1"/>
  <c r="Q259" i="1" s="1"/>
  <c r="L100" i="10"/>
  <c r="B193" i="15"/>
  <c r="C193" i="15"/>
  <c r="D193" i="15"/>
  <c r="E193" i="15"/>
  <c r="F193" i="15"/>
  <c r="G193" i="15"/>
  <c r="H91" i="15"/>
  <c r="H92" i="15"/>
  <c r="H93" i="15"/>
  <c r="H94" i="15"/>
  <c r="H95" i="15"/>
  <c r="H96" i="15"/>
  <c r="H98" i="15"/>
  <c r="H99" i="15"/>
  <c r="H100" i="15"/>
  <c r="H103" i="15"/>
  <c r="H104" i="15"/>
  <c r="H106" i="15"/>
  <c r="H107" i="15"/>
  <c r="H108" i="15"/>
  <c r="H109" i="15"/>
  <c r="B193" i="14"/>
  <c r="C193" i="14"/>
  <c r="D193" i="14"/>
  <c r="E193" i="14"/>
  <c r="F193" i="14"/>
  <c r="G193" i="14"/>
  <c r="H91" i="14"/>
  <c r="H92" i="14"/>
  <c r="H93" i="14"/>
  <c r="H94" i="14"/>
  <c r="H95" i="14"/>
  <c r="H96" i="14"/>
  <c r="H97" i="14"/>
  <c r="H98" i="14"/>
  <c r="H99" i="14"/>
  <c r="H100" i="14"/>
  <c r="H101" i="14"/>
  <c r="H103" i="14"/>
  <c r="H104" i="14"/>
  <c r="H106" i="14"/>
  <c r="H107" i="14"/>
  <c r="H108" i="14"/>
  <c r="H109" i="14"/>
  <c r="B193" i="13"/>
  <c r="C193" i="13"/>
  <c r="D193" i="13"/>
  <c r="E193" i="13"/>
  <c r="F193" i="13"/>
  <c r="G193" i="13"/>
  <c r="H193" i="13"/>
  <c r="I193" i="13"/>
  <c r="J193" i="13"/>
  <c r="K193" i="13"/>
  <c r="L91" i="13"/>
  <c r="L92" i="13"/>
  <c r="L93" i="13"/>
  <c r="L94" i="13"/>
  <c r="L95" i="13"/>
  <c r="L96" i="13"/>
  <c r="L97" i="13"/>
  <c r="L98" i="13"/>
  <c r="L99" i="13"/>
  <c r="L100" i="13"/>
  <c r="L101" i="13"/>
  <c r="L103" i="13"/>
  <c r="L104" i="13"/>
  <c r="L106" i="13"/>
  <c r="L107" i="13"/>
  <c r="L108" i="13"/>
  <c r="L109" i="13"/>
  <c r="B193" i="16"/>
  <c r="C193" i="16"/>
  <c r="D193" i="16"/>
  <c r="E193" i="16"/>
  <c r="F193" i="16"/>
  <c r="G193" i="16"/>
  <c r="H193" i="16"/>
  <c r="I193" i="16"/>
  <c r="J193" i="16"/>
  <c r="K91" i="16"/>
  <c r="K92" i="16"/>
  <c r="K93" i="16"/>
  <c r="K94" i="16"/>
  <c r="K95" i="16"/>
  <c r="K96" i="16"/>
  <c r="K97" i="16"/>
  <c r="K98" i="16"/>
  <c r="K99" i="16"/>
  <c r="K100" i="16"/>
  <c r="K101" i="16"/>
  <c r="K103" i="16"/>
  <c r="K104" i="16"/>
  <c r="K106" i="16"/>
  <c r="K107" i="16"/>
  <c r="K108" i="16"/>
  <c r="K109" i="16"/>
  <c r="B193" i="12"/>
  <c r="C193" i="12"/>
  <c r="D193" i="12"/>
  <c r="E193" i="12"/>
  <c r="F193" i="12"/>
  <c r="G193" i="12"/>
  <c r="H193" i="12"/>
  <c r="I193" i="12"/>
  <c r="J193" i="12"/>
  <c r="K193" i="12"/>
  <c r="L91" i="12"/>
  <c r="L92" i="12"/>
  <c r="L93" i="12"/>
  <c r="L94" i="12"/>
  <c r="L95" i="12"/>
  <c r="L96" i="12"/>
  <c r="L97" i="12"/>
  <c r="L98" i="12"/>
  <c r="L99" i="12"/>
  <c r="L100" i="12"/>
  <c r="L101" i="12"/>
  <c r="L103" i="12"/>
  <c r="L104" i="12"/>
  <c r="L106" i="12"/>
  <c r="L107" i="12"/>
  <c r="L108" i="12"/>
  <c r="L109" i="12"/>
  <c r="L98" i="10"/>
  <c r="L91" i="11"/>
  <c r="L92" i="11"/>
  <c r="L93" i="11"/>
  <c r="L94" i="11"/>
  <c r="L95" i="11"/>
  <c r="L96" i="11"/>
  <c r="L97" i="11"/>
  <c r="L98" i="11"/>
  <c r="L99" i="11"/>
  <c r="L100" i="11"/>
  <c r="L101" i="11"/>
  <c r="L103" i="11"/>
  <c r="L104" i="11"/>
  <c r="L106" i="11"/>
  <c r="L107" i="11"/>
  <c r="L108" i="11"/>
  <c r="L109" i="11"/>
  <c r="L91" i="10"/>
  <c r="L92" i="10"/>
  <c r="L93" i="10"/>
  <c r="L94" i="10"/>
  <c r="L95" i="10"/>
  <c r="L96" i="10"/>
  <c r="L97" i="10"/>
  <c r="L99" i="10"/>
  <c r="L101" i="10"/>
  <c r="L103" i="10"/>
  <c r="L104" i="10"/>
  <c r="L106" i="10"/>
  <c r="L107" i="10"/>
  <c r="L108" i="10"/>
  <c r="L109" i="10"/>
  <c r="L94" i="8"/>
  <c r="L95" i="8"/>
  <c r="L96" i="8"/>
  <c r="L97" i="8"/>
  <c r="L98" i="8"/>
  <c r="L99" i="8"/>
  <c r="L100" i="8"/>
  <c r="L101" i="8"/>
  <c r="L103" i="8"/>
  <c r="L104" i="8"/>
  <c r="L106" i="8"/>
  <c r="L107" i="8"/>
  <c r="L108" i="8"/>
  <c r="L92" i="8"/>
  <c r="L93" i="8"/>
  <c r="L91" i="8"/>
  <c r="H193" i="7"/>
  <c r="G193" i="7"/>
  <c r="F193" i="7"/>
  <c r="E193" i="7"/>
  <c r="D193" i="7"/>
  <c r="C193" i="7"/>
  <c r="I91" i="7"/>
  <c r="I92" i="7"/>
  <c r="I93" i="7"/>
  <c r="I94" i="7"/>
  <c r="I95" i="7"/>
  <c r="I96" i="7"/>
  <c r="I97" i="7"/>
  <c r="I98" i="7"/>
  <c r="I99" i="7"/>
  <c r="I100" i="7"/>
  <c r="I101" i="7"/>
  <c r="I103" i="7"/>
  <c r="I104" i="7"/>
  <c r="I106" i="7"/>
  <c r="I107" i="7"/>
  <c r="K98" i="6"/>
  <c r="K99" i="6"/>
  <c r="K100" i="6"/>
  <c r="K101" i="6"/>
  <c r="K103" i="6"/>
  <c r="K104" i="6"/>
  <c r="K106" i="6"/>
  <c r="K91" i="6"/>
  <c r="K92" i="6"/>
  <c r="K93" i="6"/>
  <c r="K94" i="6"/>
  <c r="K95" i="6"/>
  <c r="K96" i="6"/>
  <c r="K97" i="6"/>
  <c r="H381" i="1"/>
  <c r="C185" i="6"/>
  <c r="D185" i="6"/>
  <c r="G185" i="6"/>
  <c r="H185" i="6"/>
  <c r="I185" i="6"/>
  <c r="J185" i="6"/>
  <c r="C186" i="6"/>
  <c r="D186" i="6"/>
  <c r="E186" i="6"/>
  <c r="F186" i="6"/>
  <c r="G186" i="6"/>
  <c r="H186" i="6"/>
  <c r="I186" i="6"/>
  <c r="J186" i="6"/>
  <c r="C187" i="6"/>
  <c r="D187" i="6"/>
  <c r="E187" i="6"/>
  <c r="F187" i="6"/>
  <c r="G187" i="6"/>
  <c r="H187" i="6"/>
  <c r="I187" i="6"/>
  <c r="J187" i="6"/>
  <c r="C188" i="6"/>
  <c r="D188" i="6"/>
  <c r="E188" i="6"/>
  <c r="F188" i="6"/>
  <c r="G188" i="6"/>
  <c r="H188" i="6"/>
  <c r="I188" i="6"/>
  <c r="J188" i="6"/>
  <c r="C189" i="6"/>
  <c r="D189" i="6"/>
  <c r="E189" i="6"/>
  <c r="F189" i="6"/>
  <c r="G189" i="6"/>
  <c r="H189" i="6"/>
  <c r="I189" i="6"/>
  <c r="J189" i="6"/>
  <c r="C190" i="6"/>
  <c r="D190" i="6"/>
  <c r="E190" i="6"/>
  <c r="F190" i="6"/>
  <c r="G190" i="6"/>
  <c r="H190" i="6"/>
  <c r="I190" i="6"/>
  <c r="J190" i="6"/>
  <c r="C191" i="6"/>
  <c r="D191" i="6"/>
  <c r="E191" i="6"/>
  <c r="F191" i="6"/>
  <c r="G191" i="6"/>
  <c r="H191" i="6"/>
  <c r="I191" i="6"/>
  <c r="J191" i="6"/>
  <c r="C192" i="6"/>
  <c r="D192" i="6"/>
  <c r="E192" i="6"/>
  <c r="F192" i="6"/>
  <c r="G192" i="6"/>
  <c r="H192" i="6"/>
  <c r="I192" i="6"/>
  <c r="J192" i="6"/>
  <c r="C193" i="6"/>
  <c r="D193" i="6"/>
  <c r="E193" i="6"/>
  <c r="F193" i="6"/>
  <c r="G193" i="6"/>
  <c r="H193" i="6"/>
  <c r="I193" i="6"/>
  <c r="J193" i="6"/>
  <c r="B193" i="6"/>
  <c r="B192" i="6"/>
  <c r="B191" i="6"/>
  <c r="B190" i="6"/>
  <c r="B189" i="6"/>
  <c r="B188" i="6"/>
  <c r="B187" i="6"/>
  <c r="B186" i="6"/>
  <c r="J193" i="4"/>
  <c r="I193" i="4"/>
  <c r="H193" i="4"/>
  <c r="G193" i="4"/>
  <c r="F193" i="4"/>
  <c r="E193" i="4"/>
  <c r="D193" i="4"/>
  <c r="C193" i="4"/>
  <c r="B98" i="4"/>
  <c r="R98" i="4" s="1"/>
  <c r="B254" i="1"/>
  <c r="M254" i="1" s="1"/>
  <c r="B255" i="1"/>
  <c r="O255" i="1" s="1"/>
  <c r="B256" i="1"/>
  <c r="K256" i="1" s="1"/>
  <c r="B257" i="1"/>
  <c r="N257" i="1" s="1"/>
  <c r="B258" i="1"/>
  <c r="M258" i="1" s="1"/>
  <c r="B260" i="1"/>
  <c r="P260" i="1" s="1"/>
  <c r="B261" i="1"/>
  <c r="M261" i="1" s="1"/>
  <c r="B263" i="1"/>
  <c r="M263" i="1" s="1"/>
  <c r="B264" i="1"/>
  <c r="Q264" i="1" s="1"/>
  <c r="B253" i="1"/>
  <c r="K253" i="1" s="1"/>
  <c r="Q105" i="4"/>
  <c r="S100" i="4"/>
  <c r="N104" i="4"/>
  <c r="Q104" i="4"/>
  <c r="P105" i="4"/>
  <c r="I383" i="1"/>
  <c r="H383" i="1"/>
  <c r="G383" i="1"/>
  <c r="F383" i="1"/>
  <c r="E383" i="1"/>
  <c r="D383" i="1"/>
  <c r="C383" i="1"/>
  <c r="G97" i="15"/>
  <c r="G192" i="15" s="1"/>
  <c r="B252" i="1"/>
  <c r="L252" i="1" s="1"/>
  <c r="B251" i="1"/>
  <c r="P251" i="1" s="1"/>
  <c r="B250" i="1"/>
  <c r="P250" i="1" s="1"/>
  <c r="B249" i="1"/>
  <c r="M249" i="1" s="1"/>
  <c r="B192" i="15"/>
  <c r="B185" i="6"/>
  <c r="B248" i="1"/>
  <c r="N248" i="1" s="1"/>
  <c r="B192" i="14"/>
  <c r="B247" i="1"/>
  <c r="N247" i="1" s="1"/>
  <c r="B246" i="1"/>
  <c r="N246" i="1" s="1"/>
  <c r="K90" i="16"/>
  <c r="H90" i="15"/>
  <c r="H90" i="14"/>
  <c r="L88" i="13"/>
  <c r="L89" i="13"/>
  <c r="L90" i="13"/>
  <c r="L90" i="12"/>
  <c r="L90" i="11"/>
  <c r="L90" i="10"/>
  <c r="L90" i="8"/>
  <c r="I90" i="7"/>
  <c r="K90" i="6"/>
  <c r="B245" i="1"/>
  <c r="N245" i="1" s="1"/>
  <c r="H88" i="15"/>
  <c r="H89" i="15"/>
  <c r="H88" i="14"/>
  <c r="H89" i="14"/>
  <c r="L88" i="12"/>
  <c r="L89" i="12"/>
  <c r="L88" i="11"/>
  <c r="L89" i="11"/>
  <c r="L88" i="10"/>
  <c r="L89" i="10"/>
  <c r="L88" i="8"/>
  <c r="L89" i="8"/>
  <c r="I89" i="7"/>
  <c r="K88" i="16"/>
  <c r="K87" i="16"/>
  <c r="K89" i="16"/>
  <c r="K89" i="6"/>
  <c r="I88" i="7"/>
  <c r="K88" i="6"/>
  <c r="B88" i="4"/>
  <c r="N88" i="4" s="1"/>
  <c r="B244" i="1"/>
  <c r="L244" i="1" s="1"/>
  <c r="B87" i="4"/>
  <c r="O87" i="4" s="1"/>
  <c r="K243" i="1"/>
  <c r="L243" i="1"/>
  <c r="M243" i="1"/>
  <c r="N243" i="1"/>
  <c r="O243" i="1"/>
  <c r="P243" i="1"/>
  <c r="Q243" i="1"/>
  <c r="K86" i="16"/>
  <c r="H86" i="15"/>
  <c r="H87" i="15"/>
  <c r="H86" i="14"/>
  <c r="H87" i="14"/>
  <c r="L86" i="13"/>
  <c r="L87" i="13"/>
  <c r="L86" i="12"/>
  <c r="L87" i="12"/>
  <c r="L86" i="11"/>
  <c r="L87" i="11"/>
  <c r="L86" i="10"/>
  <c r="L87" i="10"/>
  <c r="L86" i="8"/>
  <c r="L87" i="8"/>
  <c r="I86" i="7"/>
  <c r="I87" i="7"/>
  <c r="K86" i="6"/>
  <c r="K87" i="6"/>
  <c r="K242" i="1"/>
  <c r="Q242" i="1"/>
  <c r="P242" i="1"/>
  <c r="O242" i="1"/>
  <c r="N242" i="1"/>
  <c r="M242" i="1"/>
  <c r="L242" i="1"/>
  <c r="B86" i="4"/>
  <c r="P86" i="4" s="1"/>
  <c r="B89" i="4"/>
  <c r="N89" i="4" s="1"/>
  <c r="B90" i="4"/>
  <c r="S90" i="4" s="1"/>
  <c r="B91" i="4"/>
  <c r="N91" i="4" s="1"/>
  <c r="B92" i="4"/>
  <c r="Q92" i="4" s="1"/>
  <c r="B93" i="4"/>
  <c r="L93" i="4" s="1"/>
  <c r="B94" i="4"/>
  <c r="O94" i="4" s="1"/>
  <c r="B95" i="4"/>
  <c r="R95" i="4" s="1"/>
  <c r="B96" i="4"/>
  <c r="S96" i="4" s="1"/>
  <c r="B97" i="4"/>
  <c r="R97" i="4" s="1"/>
  <c r="B192" i="16"/>
  <c r="C192" i="16"/>
  <c r="D192" i="16"/>
  <c r="E192" i="16"/>
  <c r="F192" i="16"/>
  <c r="G192" i="16"/>
  <c r="H192" i="16"/>
  <c r="I192" i="16"/>
  <c r="J192" i="16"/>
  <c r="C192" i="15"/>
  <c r="D192" i="15"/>
  <c r="E192" i="15"/>
  <c r="F192" i="15"/>
  <c r="C192" i="14"/>
  <c r="D192" i="14"/>
  <c r="E192" i="14"/>
  <c r="F192" i="14"/>
  <c r="G192" i="14"/>
  <c r="B192" i="13"/>
  <c r="C192" i="13"/>
  <c r="D192" i="13"/>
  <c r="E192" i="13"/>
  <c r="F192" i="13"/>
  <c r="G192" i="13"/>
  <c r="H192" i="13"/>
  <c r="I192" i="13"/>
  <c r="J192" i="13"/>
  <c r="K192" i="13"/>
  <c r="B192" i="12"/>
  <c r="C192" i="12"/>
  <c r="D192" i="12"/>
  <c r="E192" i="12"/>
  <c r="F192" i="12"/>
  <c r="G192" i="12"/>
  <c r="H192" i="12"/>
  <c r="I192" i="12"/>
  <c r="J192" i="12"/>
  <c r="K192" i="12"/>
  <c r="B192" i="7"/>
  <c r="C192" i="7"/>
  <c r="D192" i="7"/>
  <c r="E192" i="7"/>
  <c r="F192" i="7"/>
  <c r="G192" i="7"/>
  <c r="H192" i="7"/>
  <c r="C192" i="4"/>
  <c r="D192" i="4"/>
  <c r="E192" i="4"/>
  <c r="F192" i="4"/>
  <c r="G192" i="4"/>
  <c r="H192" i="4"/>
  <c r="I192" i="4"/>
  <c r="J192" i="4"/>
  <c r="C191" i="4"/>
  <c r="D191" i="4"/>
  <c r="E191" i="4"/>
  <c r="F191" i="4"/>
  <c r="G191" i="4"/>
  <c r="H191" i="4"/>
  <c r="I191" i="4"/>
  <c r="J191" i="4"/>
  <c r="C382" i="1"/>
  <c r="D382" i="1"/>
  <c r="E382" i="1"/>
  <c r="F382" i="1"/>
  <c r="G382" i="1"/>
  <c r="H382" i="1"/>
  <c r="I382" i="1"/>
  <c r="L85" i="11"/>
  <c r="L84" i="13"/>
  <c r="I84" i="7"/>
  <c r="K83" i="16"/>
  <c r="K84" i="16"/>
  <c r="K85" i="16"/>
  <c r="H83" i="15"/>
  <c r="H85" i="15"/>
  <c r="H83" i="14"/>
  <c r="H84" i="14"/>
  <c r="H85" i="14"/>
  <c r="L83" i="13"/>
  <c r="L85" i="13"/>
  <c r="L83" i="12"/>
  <c r="L84" i="12"/>
  <c r="L85" i="12"/>
  <c r="L83" i="11"/>
  <c r="L84" i="11"/>
  <c r="L85" i="10"/>
  <c r="L83" i="10"/>
  <c r="L84" i="10"/>
  <c r="L83" i="8"/>
  <c r="L84" i="8"/>
  <c r="L85" i="8"/>
  <c r="I83" i="7"/>
  <c r="I85" i="7"/>
  <c r="K83" i="6"/>
  <c r="K84" i="6"/>
  <c r="K85" i="6"/>
  <c r="K82" i="6"/>
  <c r="I82" i="7"/>
  <c r="L82" i="8"/>
  <c r="L82" i="10"/>
  <c r="L82" i="11"/>
  <c r="L82" i="12"/>
  <c r="K82" i="16"/>
  <c r="H82" i="15"/>
  <c r="H82" i="14"/>
  <c r="L82" i="13"/>
  <c r="B82" i="4"/>
  <c r="M82" i="4" s="1"/>
  <c r="B83" i="4"/>
  <c r="M83" i="4" s="1"/>
  <c r="B84" i="4"/>
  <c r="P84" i="4" s="1"/>
  <c r="B85" i="4"/>
  <c r="L85" i="4" s="1"/>
  <c r="K81" i="16"/>
  <c r="H81" i="15"/>
  <c r="H81" i="14"/>
  <c r="L81" i="13"/>
  <c r="L81" i="12"/>
  <c r="L81" i="11"/>
  <c r="L81" i="10"/>
  <c r="L81" i="8"/>
  <c r="I81" i="7"/>
  <c r="K81" i="6"/>
  <c r="B81" i="4"/>
  <c r="P81" i="4" s="1"/>
  <c r="K80" i="16"/>
  <c r="H80" i="15"/>
  <c r="H80" i="14"/>
  <c r="L80" i="13"/>
  <c r="L80" i="12"/>
  <c r="L80" i="11"/>
  <c r="L80" i="10"/>
  <c r="L80" i="8"/>
  <c r="I80" i="7"/>
  <c r="K80" i="6"/>
  <c r="B80" i="4"/>
  <c r="P80" i="4" s="1"/>
  <c r="K79" i="16"/>
  <c r="H79" i="15"/>
  <c r="H79" i="14"/>
  <c r="L79" i="13"/>
  <c r="L79" i="12"/>
  <c r="L79" i="11"/>
  <c r="L79" i="10"/>
  <c r="L79" i="8"/>
  <c r="I79" i="7"/>
  <c r="K79" i="6"/>
  <c r="B79" i="4"/>
  <c r="S79" i="4" s="1"/>
  <c r="K77" i="16"/>
  <c r="K78" i="16"/>
  <c r="H77" i="15"/>
  <c r="H78" i="15"/>
  <c r="H77" i="14"/>
  <c r="H78" i="14"/>
  <c r="L77" i="13"/>
  <c r="L78" i="13"/>
  <c r="L77" i="12"/>
  <c r="L78" i="12"/>
  <c r="L77" i="11"/>
  <c r="L78" i="11"/>
  <c r="L77" i="10"/>
  <c r="L78" i="10"/>
  <c r="L77" i="8"/>
  <c r="L78" i="8"/>
  <c r="I77" i="7"/>
  <c r="I78" i="7"/>
  <c r="K77" i="6"/>
  <c r="K78" i="6"/>
  <c r="B78" i="4"/>
  <c r="Q78" i="4" s="1"/>
  <c r="B77" i="4"/>
  <c r="Q77" i="4" s="1"/>
  <c r="K76" i="16"/>
  <c r="H76" i="15"/>
  <c r="H76" i="14"/>
  <c r="L76" i="13"/>
  <c r="L76" i="12"/>
  <c r="L76" i="11"/>
  <c r="L76" i="10"/>
  <c r="L76" i="8"/>
  <c r="I76" i="7"/>
  <c r="K76" i="6"/>
  <c r="B76" i="4"/>
  <c r="P76" i="4" s="1"/>
  <c r="K75" i="16"/>
  <c r="H75" i="15"/>
  <c r="H75" i="14"/>
  <c r="L75" i="13"/>
  <c r="L75" i="12"/>
  <c r="L75" i="11"/>
  <c r="L75" i="10"/>
  <c r="L75" i="8"/>
  <c r="I75" i="7"/>
  <c r="K75" i="6"/>
  <c r="B75" i="4"/>
  <c r="P75" i="4" s="1"/>
  <c r="L74" i="10"/>
  <c r="K74" i="16"/>
  <c r="K73" i="16"/>
  <c r="H74" i="15"/>
  <c r="H74" i="14"/>
  <c r="L74" i="13"/>
  <c r="L74" i="12"/>
  <c r="L74" i="11"/>
  <c r="L74" i="8"/>
  <c r="I74" i="7"/>
  <c r="K74" i="6"/>
  <c r="B74" i="4"/>
  <c r="L74" i="4" s="1"/>
  <c r="J191" i="16"/>
  <c r="I191" i="16"/>
  <c r="H191" i="16"/>
  <c r="G191" i="16"/>
  <c r="F191" i="16"/>
  <c r="E191" i="16"/>
  <c r="D191" i="16"/>
  <c r="C191" i="16"/>
  <c r="B191" i="16"/>
  <c r="H73" i="15"/>
  <c r="G191" i="15"/>
  <c r="F191" i="15"/>
  <c r="E191" i="15"/>
  <c r="D191" i="15"/>
  <c r="C191" i="15"/>
  <c r="B191" i="15"/>
  <c r="H73" i="14"/>
  <c r="G191" i="14"/>
  <c r="F191" i="14"/>
  <c r="E191" i="14"/>
  <c r="D191" i="14"/>
  <c r="C191" i="14"/>
  <c r="B191" i="14"/>
  <c r="L73" i="13"/>
  <c r="K191" i="13"/>
  <c r="J191" i="13"/>
  <c r="I191" i="13"/>
  <c r="H191" i="13"/>
  <c r="G191" i="13"/>
  <c r="F191" i="13"/>
  <c r="E191" i="13"/>
  <c r="D191" i="13"/>
  <c r="C191" i="13"/>
  <c r="B191" i="13"/>
  <c r="L73" i="12"/>
  <c r="K191" i="12"/>
  <c r="J191" i="12"/>
  <c r="I191" i="12"/>
  <c r="H191" i="12"/>
  <c r="G191" i="12"/>
  <c r="F191" i="12"/>
  <c r="E191" i="12"/>
  <c r="D191" i="12"/>
  <c r="C191" i="12"/>
  <c r="B191" i="12"/>
  <c r="L73" i="11"/>
  <c r="L73" i="10"/>
  <c r="L73" i="8"/>
  <c r="H191" i="7"/>
  <c r="G191" i="7"/>
  <c r="F191" i="7"/>
  <c r="E191" i="7"/>
  <c r="D191" i="7"/>
  <c r="C191" i="7"/>
  <c r="B191" i="7"/>
  <c r="M80" i="4"/>
  <c r="O84" i="4"/>
  <c r="L77" i="4"/>
  <c r="N77" i="4"/>
  <c r="L84" i="4"/>
  <c r="S84" i="4"/>
  <c r="B380" i="1"/>
  <c r="I381" i="1"/>
  <c r="G381" i="1"/>
  <c r="F381" i="1"/>
  <c r="B381" i="1"/>
  <c r="E381" i="1"/>
  <c r="D381" i="1"/>
  <c r="C381" i="1"/>
  <c r="Q241" i="1"/>
  <c r="P241" i="1"/>
  <c r="O241" i="1"/>
  <c r="N241" i="1"/>
  <c r="M241" i="1"/>
  <c r="L241" i="1"/>
  <c r="K241" i="1"/>
  <c r="Q240" i="1"/>
  <c r="P240" i="1"/>
  <c r="O240" i="1"/>
  <c r="N240" i="1"/>
  <c r="M240" i="1"/>
  <c r="L240" i="1"/>
  <c r="K240" i="1"/>
  <c r="Q239" i="1"/>
  <c r="P239" i="1"/>
  <c r="O239" i="1"/>
  <c r="N239" i="1"/>
  <c r="M239" i="1"/>
  <c r="L239" i="1"/>
  <c r="K239" i="1"/>
  <c r="Q238" i="1"/>
  <c r="P238" i="1"/>
  <c r="O238" i="1"/>
  <c r="N238" i="1"/>
  <c r="M238" i="1"/>
  <c r="L238" i="1"/>
  <c r="K238" i="1"/>
  <c r="Q237" i="1"/>
  <c r="P237" i="1"/>
  <c r="O237" i="1"/>
  <c r="N237" i="1"/>
  <c r="M237" i="1"/>
  <c r="L237" i="1"/>
  <c r="K237" i="1"/>
  <c r="Q236" i="1"/>
  <c r="P236" i="1"/>
  <c r="O236" i="1"/>
  <c r="N236" i="1"/>
  <c r="M236" i="1"/>
  <c r="L236" i="1"/>
  <c r="K236" i="1"/>
  <c r="Q235" i="1"/>
  <c r="P235" i="1"/>
  <c r="O235" i="1"/>
  <c r="N235" i="1"/>
  <c r="M235" i="1"/>
  <c r="L235" i="1"/>
  <c r="K235" i="1"/>
  <c r="Q234" i="1"/>
  <c r="P234" i="1"/>
  <c r="O234" i="1"/>
  <c r="N234" i="1"/>
  <c r="M234" i="1"/>
  <c r="L234" i="1"/>
  <c r="K234" i="1"/>
  <c r="Q233" i="1"/>
  <c r="P233" i="1"/>
  <c r="O233" i="1"/>
  <c r="N233" i="1"/>
  <c r="M233" i="1"/>
  <c r="L233" i="1"/>
  <c r="K233" i="1"/>
  <c r="Q232" i="1"/>
  <c r="P232" i="1"/>
  <c r="O232" i="1"/>
  <c r="N232" i="1"/>
  <c r="M232" i="1"/>
  <c r="L232" i="1"/>
  <c r="K232" i="1"/>
  <c r="Q231" i="1"/>
  <c r="P231" i="1"/>
  <c r="O231" i="1"/>
  <c r="N231" i="1"/>
  <c r="M231" i="1"/>
  <c r="L231" i="1"/>
  <c r="K231" i="1"/>
  <c r="Q230" i="1"/>
  <c r="P230" i="1"/>
  <c r="O230" i="1"/>
  <c r="N230" i="1"/>
  <c r="M230" i="1"/>
  <c r="L230" i="1"/>
  <c r="K230" i="1"/>
  <c r="B364" i="1"/>
  <c r="K72" i="16"/>
  <c r="H72" i="15"/>
  <c r="H72" i="14"/>
  <c r="L72" i="13"/>
  <c r="L72" i="12"/>
  <c r="L72" i="11"/>
  <c r="L72" i="10"/>
  <c r="L72" i="8"/>
  <c r="F72" i="4"/>
  <c r="B72" i="4" s="1"/>
  <c r="K71" i="16"/>
  <c r="H71" i="15"/>
  <c r="H71" i="14"/>
  <c r="L71" i="13"/>
  <c r="L71" i="12"/>
  <c r="L71" i="11"/>
  <c r="B71" i="4"/>
  <c r="P71" i="4" s="1"/>
  <c r="B73" i="4"/>
  <c r="P73" i="4" s="1"/>
  <c r="L71" i="10"/>
  <c r="L71" i="8"/>
  <c r="K70" i="16"/>
  <c r="H70" i="15"/>
  <c r="H70" i="14"/>
  <c r="L70" i="13"/>
  <c r="L70" i="12"/>
  <c r="L70" i="11"/>
  <c r="L70" i="10"/>
  <c r="L70" i="8"/>
  <c r="K69" i="16"/>
  <c r="H69" i="15"/>
  <c r="H69" i="14"/>
  <c r="L69" i="13"/>
  <c r="L69" i="12"/>
  <c r="L69" i="11"/>
  <c r="L69" i="10"/>
  <c r="L69" i="8"/>
  <c r="D209" i="16"/>
  <c r="F204" i="16"/>
  <c r="J190" i="16"/>
  <c r="I190" i="16"/>
  <c r="H190" i="16"/>
  <c r="G190" i="16"/>
  <c r="F190" i="16"/>
  <c r="E190" i="16"/>
  <c r="D190" i="16"/>
  <c r="C190" i="16"/>
  <c r="B190" i="16"/>
  <c r="J189" i="16"/>
  <c r="I189" i="16"/>
  <c r="H189" i="16"/>
  <c r="G189" i="16"/>
  <c r="F189" i="16"/>
  <c r="E189" i="16"/>
  <c r="D189" i="16"/>
  <c r="C189" i="16"/>
  <c r="B189" i="16"/>
  <c r="J188" i="16"/>
  <c r="I188" i="16"/>
  <c r="H188" i="16"/>
  <c r="G188" i="16"/>
  <c r="F188" i="16"/>
  <c r="E188" i="16"/>
  <c r="D188" i="16"/>
  <c r="C188" i="16"/>
  <c r="B188" i="16"/>
  <c r="J187" i="16"/>
  <c r="I187" i="16"/>
  <c r="H187" i="16"/>
  <c r="G187" i="16"/>
  <c r="F187" i="16"/>
  <c r="E187" i="16"/>
  <c r="D187" i="16"/>
  <c r="C187" i="16"/>
  <c r="B187" i="16"/>
  <c r="J186" i="16"/>
  <c r="I186" i="16"/>
  <c r="H186" i="16"/>
  <c r="G186" i="16"/>
  <c r="F186" i="16"/>
  <c r="E186" i="16"/>
  <c r="D186" i="16"/>
  <c r="C186" i="16"/>
  <c r="B186" i="16"/>
  <c r="J185" i="16"/>
  <c r="I185" i="16"/>
  <c r="H185" i="16"/>
  <c r="G185" i="16"/>
  <c r="F185" i="16"/>
  <c r="E185" i="16"/>
  <c r="D185" i="16"/>
  <c r="C185" i="16"/>
  <c r="B185" i="16"/>
  <c r="K68" i="16"/>
  <c r="K67" i="16"/>
  <c r="K66" i="16"/>
  <c r="K65" i="16"/>
  <c r="K64" i="16"/>
  <c r="K63" i="16"/>
  <c r="K62" i="16"/>
  <c r="K61" i="16"/>
  <c r="K60"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K8" i="16"/>
  <c r="K7" i="16"/>
  <c r="K6" i="16"/>
  <c r="K5" i="16"/>
  <c r="K4" i="16"/>
  <c r="K3" i="16"/>
  <c r="K2" i="16"/>
  <c r="G209" i="15"/>
  <c r="G190" i="15"/>
  <c r="F190" i="15"/>
  <c r="E190" i="15"/>
  <c r="D190" i="15"/>
  <c r="C190" i="15"/>
  <c r="B190" i="15"/>
  <c r="G189" i="15"/>
  <c r="F189" i="15"/>
  <c r="E189" i="15"/>
  <c r="D189" i="15"/>
  <c r="C189" i="15"/>
  <c r="B189" i="15"/>
  <c r="G188" i="15"/>
  <c r="F188" i="15"/>
  <c r="E188" i="15"/>
  <c r="D188" i="15"/>
  <c r="C188" i="15"/>
  <c r="B188" i="15"/>
  <c r="G187" i="15"/>
  <c r="F187" i="15"/>
  <c r="E187" i="15"/>
  <c r="D187" i="15"/>
  <c r="C187" i="15"/>
  <c r="B187" i="15"/>
  <c r="G186" i="15"/>
  <c r="F186" i="15"/>
  <c r="E186" i="15"/>
  <c r="D186" i="15"/>
  <c r="C186" i="15"/>
  <c r="B186" i="15"/>
  <c r="G185" i="15"/>
  <c r="F185" i="15"/>
  <c r="E185" i="15"/>
  <c r="D185" i="15"/>
  <c r="C185" i="15"/>
  <c r="B185"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H4" i="15"/>
  <c r="H3" i="15"/>
  <c r="H2" i="15"/>
  <c r="G209" i="14"/>
  <c r="G190" i="14"/>
  <c r="F190" i="14"/>
  <c r="E190" i="14"/>
  <c r="D190" i="14"/>
  <c r="C190" i="14"/>
  <c r="B190" i="14"/>
  <c r="G189" i="14"/>
  <c r="F189" i="14"/>
  <c r="E189" i="14"/>
  <c r="D189" i="14"/>
  <c r="C189" i="14"/>
  <c r="B189" i="14"/>
  <c r="G188" i="14"/>
  <c r="F188" i="14"/>
  <c r="E188" i="14"/>
  <c r="D188" i="14"/>
  <c r="C188" i="14"/>
  <c r="B188" i="14"/>
  <c r="G187" i="14"/>
  <c r="F187" i="14"/>
  <c r="E187" i="14"/>
  <c r="D187" i="14"/>
  <c r="C187" i="14"/>
  <c r="B187" i="14"/>
  <c r="G186" i="14"/>
  <c r="F186" i="14"/>
  <c r="E186" i="14"/>
  <c r="D186" i="14"/>
  <c r="C186" i="14"/>
  <c r="B186" i="14"/>
  <c r="G185" i="14"/>
  <c r="F185" i="14"/>
  <c r="E185" i="14"/>
  <c r="D185" i="14"/>
  <c r="C185" i="14"/>
  <c r="H68" i="14"/>
  <c r="H67" i="14"/>
  <c r="H66" i="14"/>
  <c r="H65" i="14"/>
  <c r="H64" i="14"/>
  <c r="H63" i="14"/>
  <c r="H62" i="14"/>
  <c r="H61" i="14"/>
  <c r="H60" i="14"/>
  <c r="H59" i="14"/>
  <c r="H58" i="14"/>
  <c r="H57" i="14"/>
  <c r="H56" i="14"/>
  <c r="H55" i="14"/>
  <c r="H54" i="14"/>
  <c r="H53" i="14"/>
  <c r="H52" i="14"/>
  <c r="H51" i="14"/>
  <c r="H50" i="14"/>
  <c r="H49" i="14"/>
  <c r="H48" i="14"/>
  <c r="H47" i="14"/>
  <c r="H46" i="14"/>
  <c r="H45" i="14"/>
  <c r="H44" i="14"/>
  <c r="H43" i="14"/>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H10" i="14"/>
  <c r="H9" i="14"/>
  <c r="H8" i="14"/>
  <c r="H7" i="14"/>
  <c r="H6" i="14"/>
  <c r="H5" i="14"/>
  <c r="H4" i="14"/>
  <c r="H3" i="14"/>
  <c r="H2" i="14"/>
  <c r="K209" i="13"/>
  <c r="K190" i="13"/>
  <c r="J190" i="13"/>
  <c r="I190" i="13"/>
  <c r="H190" i="13"/>
  <c r="G190" i="13"/>
  <c r="F190" i="13"/>
  <c r="E190" i="13"/>
  <c r="D190" i="13"/>
  <c r="C190" i="13"/>
  <c r="B190" i="13"/>
  <c r="K189" i="13"/>
  <c r="J189" i="13"/>
  <c r="I189" i="13"/>
  <c r="H189" i="13"/>
  <c r="G189" i="13"/>
  <c r="F189" i="13"/>
  <c r="E189" i="13"/>
  <c r="D189" i="13"/>
  <c r="C189" i="13"/>
  <c r="B189" i="13"/>
  <c r="K188" i="13"/>
  <c r="J188" i="13"/>
  <c r="I188" i="13"/>
  <c r="H188" i="13"/>
  <c r="G188" i="13"/>
  <c r="F188" i="13"/>
  <c r="E188" i="13"/>
  <c r="D188" i="13"/>
  <c r="C188" i="13"/>
  <c r="B188" i="13"/>
  <c r="K187" i="13"/>
  <c r="J187" i="13"/>
  <c r="I187" i="13"/>
  <c r="H187" i="13"/>
  <c r="G187" i="13"/>
  <c r="F187" i="13"/>
  <c r="E187" i="13"/>
  <c r="D187" i="13"/>
  <c r="C187" i="13"/>
  <c r="B187" i="13"/>
  <c r="K186" i="13"/>
  <c r="J186" i="13"/>
  <c r="I186" i="13"/>
  <c r="H186" i="13"/>
  <c r="G186" i="13"/>
  <c r="F186" i="13"/>
  <c r="E186" i="13"/>
  <c r="D186" i="13"/>
  <c r="C186" i="13"/>
  <c r="B186" i="13"/>
  <c r="K185" i="13"/>
  <c r="J185" i="13"/>
  <c r="I185" i="13"/>
  <c r="H185" i="13"/>
  <c r="G185" i="13"/>
  <c r="F185" i="13"/>
  <c r="E185" i="13"/>
  <c r="D185" i="13"/>
  <c r="C185" i="13"/>
  <c r="B185"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4" i="13"/>
  <c r="L3" i="13"/>
  <c r="L2" i="13"/>
  <c r="K190" i="12"/>
  <c r="J190" i="12"/>
  <c r="I190" i="12"/>
  <c r="H190" i="12"/>
  <c r="G190" i="12"/>
  <c r="F190" i="12"/>
  <c r="E190" i="12"/>
  <c r="D190" i="12"/>
  <c r="C190" i="12"/>
  <c r="B190" i="12"/>
  <c r="K189" i="12"/>
  <c r="J189" i="12"/>
  <c r="I189" i="12"/>
  <c r="H189" i="12"/>
  <c r="G189" i="12"/>
  <c r="F189" i="12"/>
  <c r="E189" i="12"/>
  <c r="D189" i="12"/>
  <c r="C189" i="12"/>
  <c r="B189" i="12"/>
  <c r="K188" i="12"/>
  <c r="J188" i="12"/>
  <c r="I188" i="12"/>
  <c r="H188" i="12"/>
  <c r="G188" i="12"/>
  <c r="F188" i="12"/>
  <c r="E188" i="12"/>
  <c r="D188" i="12"/>
  <c r="C188" i="12"/>
  <c r="B188" i="12"/>
  <c r="K187" i="12"/>
  <c r="J187" i="12"/>
  <c r="I187" i="12"/>
  <c r="H187" i="12"/>
  <c r="G187" i="12"/>
  <c r="F187" i="12"/>
  <c r="E187" i="12"/>
  <c r="D187" i="12"/>
  <c r="C187" i="12"/>
  <c r="B187" i="12"/>
  <c r="K186" i="12"/>
  <c r="J186" i="12"/>
  <c r="I186" i="12"/>
  <c r="H186" i="12"/>
  <c r="G186" i="12"/>
  <c r="F186" i="12"/>
  <c r="E186" i="12"/>
  <c r="D186" i="12"/>
  <c r="C186" i="12"/>
  <c r="B186" i="12"/>
  <c r="K185" i="12"/>
  <c r="J185" i="12"/>
  <c r="I185" i="12"/>
  <c r="H185" i="12"/>
  <c r="G185" i="12"/>
  <c r="F185" i="12"/>
  <c r="E185" i="12"/>
  <c r="D185" i="12"/>
  <c r="C185" i="12"/>
  <c r="B185"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2" i="12"/>
  <c r="G209" i="11"/>
  <c r="D209" i="11"/>
  <c r="D204"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 i="11"/>
  <c r="L2" i="11"/>
  <c r="K209" i="10"/>
  <c r="C209" i="10"/>
  <c r="F204" i="10"/>
  <c r="L68" i="10"/>
  <c r="L67" i="10"/>
  <c r="L66" i="10"/>
  <c r="L65" i="10"/>
  <c r="L64" i="10"/>
  <c r="L63"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 i="10"/>
  <c r="L2" i="10"/>
  <c r="L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2" i="8"/>
  <c r="F209" i="8"/>
  <c r="H190" i="7"/>
  <c r="G190" i="7"/>
  <c r="F190" i="7"/>
  <c r="E190" i="7"/>
  <c r="D190" i="7"/>
  <c r="C190" i="7"/>
  <c r="B190" i="7"/>
  <c r="H189" i="7"/>
  <c r="G189" i="7"/>
  <c r="F189" i="7"/>
  <c r="E189" i="7"/>
  <c r="D189" i="7"/>
  <c r="C189" i="7"/>
  <c r="B189" i="7"/>
  <c r="H188" i="7"/>
  <c r="G188" i="7"/>
  <c r="F188" i="7"/>
  <c r="E188" i="7"/>
  <c r="D188" i="7"/>
  <c r="C188" i="7"/>
  <c r="B188" i="7"/>
  <c r="H187" i="7"/>
  <c r="G187" i="7"/>
  <c r="F187" i="7"/>
  <c r="E187" i="7"/>
  <c r="D187" i="7"/>
  <c r="C187" i="7"/>
  <c r="B187" i="7"/>
  <c r="H186" i="7"/>
  <c r="G186" i="7"/>
  <c r="F186" i="7"/>
  <c r="E186" i="7"/>
  <c r="D186" i="7"/>
  <c r="C186" i="7"/>
  <c r="B186" i="7"/>
  <c r="H185" i="7"/>
  <c r="G185" i="7"/>
  <c r="F185" i="7"/>
  <c r="E185" i="7"/>
  <c r="D185" i="7"/>
  <c r="C185" i="7"/>
  <c r="B185"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K3"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2" i="6"/>
  <c r="F209" i="6"/>
  <c r="E209" i="16"/>
  <c r="B209" i="16"/>
  <c r="C209" i="16"/>
  <c r="F209" i="15"/>
  <c r="E204" i="14"/>
  <c r="B209" i="14"/>
  <c r="D209" i="13"/>
  <c r="K204" i="13"/>
  <c r="E204" i="13"/>
  <c r="D204" i="13"/>
  <c r="C204" i="12"/>
  <c r="K204" i="12"/>
  <c r="G209" i="12"/>
  <c r="B204" i="12"/>
  <c r="F204" i="12"/>
  <c r="B209" i="12"/>
  <c r="B204" i="11"/>
  <c r="F204" i="11"/>
  <c r="K209" i="11"/>
  <c r="E204" i="10"/>
  <c r="I204" i="10"/>
  <c r="D204" i="10"/>
  <c r="B209" i="10"/>
  <c r="G204" i="10"/>
  <c r="E209" i="10"/>
  <c r="E209" i="8"/>
  <c r="K209" i="8"/>
  <c r="H209" i="7"/>
  <c r="E209" i="7"/>
  <c r="E204" i="7"/>
  <c r="G209" i="7"/>
  <c r="F204" i="6"/>
  <c r="G204" i="6"/>
  <c r="G209" i="6"/>
  <c r="B68" i="4"/>
  <c r="P68" i="4" s="1"/>
  <c r="H209" i="4"/>
  <c r="B3" i="4"/>
  <c r="O3" i="4" s="1"/>
  <c r="B4" i="4"/>
  <c r="P4" i="4" s="1"/>
  <c r="B5" i="4"/>
  <c r="Q5" i="4" s="1"/>
  <c r="B6" i="4"/>
  <c r="O6" i="4" s="1"/>
  <c r="B7" i="4"/>
  <c r="R7" i="4" s="1"/>
  <c r="B8" i="4"/>
  <c r="L8" i="4" s="1"/>
  <c r="B9" i="4"/>
  <c r="B10" i="4"/>
  <c r="P10" i="4" s="1"/>
  <c r="B11" i="4"/>
  <c r="O11" i="4" s="1"/>
  <c r="B12" i="4"/>
  <c r="M12" i="4" s="1"/>
  <c r="B13" i="4"/>
  <c r="N13" i="4" s="1"/>
  <c r="B14" i="4"/>
  <c r="S14" i="4" s="1"/>
  <c r="B15" i="4"/>
  <c r="S15" i="4" s="1"/>
  <c r="B16" i="4"/>
  <c r="S16" i="4" s="1"/>
  <c r="B17" i="4"/>
  <c r="R17" i="4" s="1"/>
  <c r="B18" i="4"/>
  <c r="S18" i="4" s="1"/>
  <c r="B19" i="4"/>
  <c r="P19" i="4" s="1"/>
  <c r="B20" i="4"/>
  <c r="R20" i="4" s="1"/>
  <c r="B21" i="4"/>
  <c r="L21" i="4" s="1"/>
  <c r="B22" i="4"/>
  <c r="O22" i="4" s="1"/>
  <c r="B23" i="4"/>
  <c r="Q23" i="4" s="1"/>
  <c r="B24" i="4"/>
  <c r="P24" i="4" s="1"/>
  <c r="B25" i="4"/>
  <c r="N25" i="4" s="1"/>
  <c r="B26" i="4"/>
  <c r="Q26" i="4" s="1"/>
  <c r="B27" i="4"/>
  <c r="P27" i="4" s="1"/>
  <c r="B28" i="4"/>
  <c r="S28" i="4" s="1"/>
  <c r="B29" i="4"/>
  <c r="S29" i="4" s="1"/>
  <c r="B30" i="4"/>
  <c r="S30" i="4" s="1"/>
  <c r="B31" i="4"/>
  <c r="M31" i="4" s="1"/>
  <c r="B32" i="4"/>
  <c r="O32" i="4" s="1"/>
  <c r="B33" i="4"/>
  <c r="Q33" i="4" s="1"/>
  <c r="B34" i="4"/>
  <c r="S34" i="4" s="1"/>
  <c r="B35" i="4"/>
  <c r="R35" i="4" s="1"/>
  <c r="B36" i="4"/>
  <c r="R36" i="4" s="1"/>
  <c r="B37" i="4"/>
  <c r="R37" i="4" s="1"/>
  <c r="B38" i="4"/>
  <c r="P38" i="4" s="1"/>
  <c r="B39" i="4"/>
  <c r="O39" i="4" s="1"/>
  <c r="B40" i="4"/>
  <c r="Q40" i="4" s="1"/>
  <c r="B41" i="4"/>
  <c r="N41" i="4" s="1"/>
  <c r="B42" i="4"/>
  <c r="S42" i="4" s="1"/>
  <c r="B43" i="4"/>
  <c r="N43" i="4" s="1"/>
  <c r="B44" i="4"/>
  <c r="S44" i="4" s="1"/>
  <c r="B45" i="4"/>
  <c r="P45" i="4" s="1"/>
  <c r="B46" i="4"/>
  <c r="R46" i="4" s="1"/>
  <c r="B47" i="4"/>
  <c r="P47" i="4" s="1"/>
  <c r="B48" i="4"/>
  <c r="M48" i="4" s="1"/>
  <c r="B49" i="4"/>
  <c r="S49" i="4" s="1"/>
  <c r="B50" i="4"/>
  <c r="S50" i="4" s="1"/>
  <c r="B51" i="4"/>
  <c r="O51" i="4" s="1"/>
  <c r="B52" i="4"/>
  <c r="P52" i="4" s="1"/>
  <c r="B53" i="4"/>
  <c r="P53" i="4" s="1"/>
  <c r="B54" i="4"/>
  <c r="L54" i="4" s="1"/>
  <c r="B55" i="4"/>
  <c r="R55" i="4" s="1"/>
  <c r="B56" i="4"/>
  <c r="N56" i="4" s="1"/>
  <c r="B57" i="4"/>
  <c r="R57" i="4" s="1"/>
  <c r="B58" i="4"/>
  <c r="O58" i="4" s="1"/>
  <c r="B59" i="4"/>
  <c r="S59" i="4" s="1"/>
  <c r="B60" i="4"/>
  <c r="S60" i="4" s="1"/>
  <c r="B61" i="4"/>
  <c r="B62" i="4"/>
  <c r="P62" i="4" s="1"/>
  <c r="B63" i="4"/>
  <c r="R63" i="4" s="1"/>
  <c r="B64" i="4"/>
  <c r="Q64" i="4" s="1"/>
  <c r="B65" i="4"/>
  <c r="P65" i="4" s="1"/>
  <c r="B66" i="4"/>
  <c r="N66" i="4" s="1"/>
  <c r="B67" i="4"/>
  <c r="Q67" i="4" s="1"/>
  <c r="B69" i="4"/>
  <c r="N69" i="4" s="1"/>
  <c r="B70" i="4"/>
  <c r="L70" i="4" s="1"/>
  <c r="B2" i="4"/>
  <c r="L2" i="4" s="1"/>
  <c r="O55" i="4"/>
  <c r="L55" i="4"/>
  <c r="F209" i="4"/>
  <c r="F204" i="4"/>
  <c r="H204" i="4"/>
  <c r="K225" i="1"/>
  <c r="L225" i="1"/>
  <c r="M225" i="1"/>
  <c r="N225" i="1"/>
  <c r="O225" i="1"/>
  <c r="P225" i="1"/>
  <c r="Q225" i="1"/>
  <c r="K226" i="1"/>
  <c r="L226" i="1"/>
  <c r="M226" i="1"/>
  <c r="N226" i="1"/>
  <c r="O226" i="1"/>
  <c r="P226" i="1"/>
  <c r="Q226" i="1"/>
  <c r="K227" i="1"/>
  <c r="L227" i="1"/>
  <c r="M227" i="1"/>
  <c r="N227" i="1"/>
  <c r="O227" i="1"/>
  <c r="P227" i="1"/>
  <c r="Q227" i="1"/>
  <c r="K228" i="1"/>
  <c r="L228" i="1"/>
  <c r="M228" i="1"/>
  <c r="N228" i="1"/>
  <c r="O228" i="1"/>
  <c r="P228" i="1"/>
  <c r="Q228" i="1"/>
  <c r="K229" i="1"/>
  <c r="L229" i="1"/>
  <c r="M229" i="1"/>
  <c r="N229" i="1"/>
  <c r="O229" i="1"/>
  <c r="P229" i="1"/>
  <c r="Q229" i="1"/>
  <c r="C364" i="1"/>
  <c r="D364" i="1"/>
  <c r="E364" i="1"/>
  <c r="G364" i="1"/>
  <c r="H364" i="1"/>
  <c r="I364" i="1"/>
  <c r="C365" i="1"/>
  <c r="D365" i="1"/>
  <c r="E365" i="1"/>
  <c r="F365" i="1"/>
  <c r="G365" i="1"/>
  <c r="H365" i="1"/>
  <c r="I365" i="1"/>
  <c r="C366" i="1"/>
  <c r="D366" i="1"/>
  <c r="E366" i="1"/>
  <c r="F366" i="1"/>
  <c r="G366" i="1"/>
  <c r="H366" i="1"/>
  <c r="I366" i="1"/>
  <c r="C367" i="1"/>
  <c r="D367" i="1"/>
  <c r="E367" i="1"/>
  <c r="F367" i="1"/>
  <c r="G367" i="1"/>
  <c r="H367" i="1"/>
  <c r="I367" i="1"/>
  <c r="C368" i="1"/>
  <c r="D368" i="1"/>
  <c r="E368" i="1"/>
  <c r="F368" i="1"/>
  <c r="G368" i="1"/>
  <c r="H368" i="1"/>
  <c r="I368" i="1"/>
  <c r="C369" i="1"/>
  <c r="D369" i="1"/>
  <c r="E369" i="1"/>
  <c r="F369" i="1"/>
  <c r="G369" i="1"/>
  <c r="H369" i="1"/>
  <c r="I369" i="1"/>
  <c r="C370" i="1"/>
  <c r="D370" i="1"/>
  <c r="E370" i="1"/>
  <c r="F370" i="1"/>
  <c r="G370" i="1"/>
  <c r="H370" i="1"/>
  <c r="I370" i="1"/>
  <c r="C371" i="1"/>
  <c r="D371" i="1"/>
  <c r="E371" i="1"/>
  <c r="F371" i="1"/>
  <c r="G371" i="1"/>
  <c r="H371" i="1"/>
  <c r="I371" i="1"/>
  <c r="C372" i="1"/>
  <c r="D372" i="1"/>
  <c r="E372" i="1"/>
  <c r="F372" i="1"/>
  <c r="G372" i="1"/>
  <c r="H372" i="1"/>
  <c r="I372" i="1"/>
  <c r="C373" i="1"/>
  <c r="D373" i="1"/>
  <c r="E373" i="1"/>
  <c r="F373" i="1"/>
  <c r="G373" i="1"/>
  <c r="H373" i="1"/>
  <c r="I373" i="1"/>
  <c r="C374" i="1"/>
  <c r="D374" i="1"/>
  <c r="E374" i="1"/>
  <c r="F374" i="1"/>
  <c r="G374" i="1"/>
  <c r="H374" i="1"/>
  <c r="I374" i="1"/>
  <c r="C375" i="1"/>
  <c r="D375" i="1"/>
  <c r="E375" i="1"/>
  <c r="F375" i="1"/>
  <c r="G375" i="1"/>
  <c r="H375" i="1"/>
  <c r="I375" i="1"/>
  <c r="C376" i="1"/>
  <c r="D376" i="1"/>
  <c r="E376" i="1"/>
  <c r="F376" i="1"/>
  <c r="G376" i="1"/>
  <c r="H376" i="1"/>
  <c r="I376" i="1"/>
  <c r="C377" i="1"/>
  <c r="D377" i="1"/>
  <c r="E377" i="1"/>
  <c r="F377" i="1"/>
  <c r="G377" i="1"/>
  <c r="H377" i="1"/>
  <c r="I377" i="1"/>
  <c r="C378" i="1"/>
  <c r="D378" i="1"/>
  <c r="E378" i="1"/>
  <c r="F378" i="1"/>
  <c r="G378" i="1"/>
  <c r="H378" i="1"/>
  <c r="I378" i="1"/>
  <c r="C379" i="1"/>
  <c r="D379" i="1"/>
  <c r="E379" i="1"/>
  <c r="F379" i="1"/>
  <c r="G379" i="1"/>
  <c r="H379" i="1"/>
  <c r="I379" i="1"/>
  <c r="C380" i="1"/>
  <c r="D380" i="1"/>
  <c r="E380" i="1"/>
  <c r="F380" i="1"/>
  <c r="G380" i="1"/>
  <c r="H380" i="1"/>
  <c r="I380" i="1"/>
  <c r="B366" i="1"/>
  <c r="B367" i="1"/>
  <c r="B368" i="1"/>
  <c r="B369" i="1"/>
  <c r="B370" i="1"/>
  <c r="B371" i="1"/>
  <c r="B372" i="1"/>
  <c r="B373" i="1"/>
  <c r="B374" i="1"/>
  <c r="B375" i="1"/>
  <c r="B376" i="1"/>
  <c r="B377" i="1"/>
  <c r="B378" i="1"/>
  <c r="B379" i="1"/>
  <c r="B363" i="1"/>
  <c r="B362" i="1"/>
  <c r="Q224" i="1"/>
  <c r="P224" i="1"/>
  <c r="O224" i="1"/>
  <c r="N224" i="1"/>
  <c r="M224" i="1"/>
  <c r="L224" i="1"/>
  <c r="K224" i="1"/>
  <c r="Q223" i="1"/>
  <c r="P223" i="1"/>
  <c r="O223" i="1"/>
  <c r="N223" i="1"/>
  <c r="M223" i="1"/>
  <c r="L223" i="1"/>
  <c r="K223" i="1"/>
  <c r="Q222" i="1"/>
  <c r="P222" i="1"/>
  <c r="O222" i="1"/>
  <c r="N222" i="1"/>
  <c r="M222" i="1"/>
  <c r="L222" i="1"/>
  <c r="K222" i="1"/>
  <c r="Q221" i="1"/>
  <c r="P221" i="1"/>
  <c r="O221" i="1"/>
  <c r="N221" i="1"/>
  <c r="M221" i="1"/>
  <c r="L221" i="1"/>
  <c r="K221" i="1"/>
  <c r="Q220" i="1"/>
  <c r="P220" i="1"/>
  <c r="O220" i="1"/>
  <c r="N220" i="1"/>
  <c r="M220" i="1"/>
  <c r="L220" i="1"/>
  <c r="K220" i="1"/>
  <c r="Q219" i="1"/>
  <c r="P219" i="1"/>
  <c r="O219" i="1"/>
  <c r="N219" i="1"/>
  <c r="M219" i="1"/>
  <c r="L219" i="1"/>
  <c r="K219" i="1"/>
  <c r="Q218" i="1"/>
  <c r="P218" i="1"/>
  <c r="O218" i="1"/>
  <c r="N218" i="1"/>
  <c r="M218" i="1"/>
  <c r="L218" i="1"/>
  <c r="K218" i="1"/>
  <c r="Q217" i="1"/>
  <c r="P217" i="1"/>
  <c r="O217" i="1"/>
  <c r="N217" i="1"/>
  <c r="M217" i="1"/>
  <c r="L217" i="1"/>
  <c r="K217" i="1"/>
  <c r="Q216" i="1"/>
  <c r="P216" i="1"/>
  <c r="O216" i="1"/>
  <c r="N216" i="1"/>
  <c r="M216" i="1"/>
  <c r="L216" i="1"/>
  <c r="K216" i="1"/>
  <c r="Q215" i="1"/>
  <c r="P215" i="1"/>
  <c r="O215" i="1"/>
  <c r="N215" i="1"/>
  <c r="M215" i="1"/>
  <c r="L215" i="1"/>
  <c r="K215" i="1"/>
  <c r="Q214" i="1"/>
  <c r="P214" i="1"/>
  <c r="O214" i="1"/>
  <c r="N214" i="1"/>
  <c r="M214" i="1"/>
  <c r="L214" i="1"/>
  <c r="K214" i="1"/>
  <c r="Q213" i="1"/>
  <c r="P213" i="1"/>
  <c r="O213" i="1"/>
  <c r="N213" i="1"/>
  <c r="M213" i="1"/>
  <c r="L213" i="1"/>
  <c r="K213" i="1"/>
  <c r="Q212" i="1"/>
  <c r="P212" i="1"/>
  <c r="O212" i="1"/>
  <c r="N212" i="1"/>
  <c r="M212" i="1"/>
  <c r="L212" i="1"/>
  <c r="K212" i="1"/>
  <c r="Q211" i="1"/>
  <c r="P211" i="1"/>
  <c r="O211" i="1"/>
  <c r="N211" i="1"/>
  <c r="M211" i="1"/>
  <c r="L211" i="1"/>
  <c r="K211" i="1"/>
  <c r="Q210" i="1"/>
  <c r="P210" i="1"/>
  <c r="O210" i="1"/>
  <c r="N210" i="1"/>
  <c r="M210" i="1"/>
  <c r="L210" i="1"/>
  <c r="K210" i="1"/>
  <c r="Q209" i="1"/>
  <c r="P209" i="1"/>
  <c r="O209" i="1"/>
  <c r="N209" i="1"/>
  <c r="M209" i="1"/>
  <c r="L209" i="1"/>
  <c r="K209" i="1"/>
  <c r="Q208" i="1"/>
  <c r="P208" i="1"/>
  <c r="O208" i="1"/>
  <c r="N208" i="1"/>
  <c r="M208" i="1"/>
  <c r="L208" i="1"/>
  <c r="K208" i="1"/>
  <c r="Q207" i="1"/>
  <c r="P207" i="1"/>
  <c r="O207" i="1"/>
  <c r="N207" i="1"/>
  <c r="M207" i="1"/>
  <c r="L207" i="1"/>
  <c r="K207" i="1"/>
  <c r="Q206" i="1"/>
  <c r="P206" i="1"/>
  <c r="O206" i="1"/>
  <c r="N206" i="1"/>
  <c r="M206" i="1"/>
  <c r="L206" i="1"/>
  <c r="K206" i="1"/>
  <c r="Q205" i="1"/>
  <c r="P205" i="1"/>
  <c r="O205" i="1"/>
  <c r="N205" i="1"/>
  <c r="M205" i="1"/>
  <c r="L205" i="1"/>
  <c r="K205" i="1"/>
  <c r="Q204" i="1"/>
  <c r="P204" i="1"/>
  <c r="O204" i="1"/>
  <c r="N204" i="1"/>
  <c r="M204" i="1"/>
  <c r="L204" i="1"/>
  <c r="K204" i="1"/>
  <c r="Q203" i="1"/>
  <c r="P203" i="1"/>
  <c r="O203" i="1"/>
  <c r="N203" i="1"/>
  <c r="M203" i="1"/>
  <c r="L203" i="1"/>
  <c r="K203" i="1"/>
  <c r="Q202" i="1"/>
  <c r="P202" i="1"/>
  <c r="O202" i="1"/>
  <c r="N202" i="1"/>
  <c r="M202" i="1"/>
  <c r="L202" i="1"/>
  <c r="K202" i="1"/>
  <c r="Q201" i="1"/>
  <c r="P201" i="1"/>
  <c r="O201" i="1"/>
  <c r="N201" i="1"/>
  <c r="M201" i="1"/>
  <c r="L201" i="1"/>
  <c r="K201" i="1"/>
  <c r="Q200" i="1"/>
  <c r="P200" i="1"/>
  <c r="O200" i="1"/>
  <c r="N200" i="1"/>
  <c r="M200" i="1"/>
  <c r="L200" i="1"/>
  <c r="K200" i="1"/>
  <c r="Q199" i="1"/>
  <c r="P199" i="1"/>
  <c r="O199" i="1"/>
  <c r="N199" i="1"/>
  <c r="M199" i="1"/>
  <c r="L199" i="1"/>
  <c r="K199" i="1"/>
  <c r="Q198" i="1"/>
  <c r="P198" i="1"/>
  <c r="O198" i="1"/>
  <c r="N198" i="1"/>
  <c r="M198" i="1"/>
  <c r="L198" i="1"/>
  <c r="K198" i="1"/>
  <c r="Q197" i="1"/>
  <c r="P197" i="1"/>
  <c r="O197" i="1"/>
  <c r="N197" i="1"/>
  <c r="M197" i="1"/>
  <c r="L197" i="1"/>
  <c r="K197" i="1"/>
  <c r="Q196" i="1"/>
  <c r="P196" i="1"/>
  <c r="O196" i="1"/>
  <c r="N196" i="1"/>
  <c r="M196" i="1"/>
  <c r="L196" i="1"/>
  <c r="K196" i="1"/>
  <c r="Q195" i="1"/>
  <c r="P195" i="1"/>
  <c r="O195" i="1"/>
  <c r="N195" i="1"/>
  <c r="M195" i="1"/>
  <c r="L195" i="1"/>
  <c r="K195" i="1"/>
  <c r="Q194" i="1"/>
  <c r="P194" i="1"/>
  <c r="O194" i="1"/>
  <c r="N194" i="1"/>
  <c r="M194" i="1"/>
  <c r="L194" i="1"/>
  <c r="K194" i="1"/>
  <c r="Q193" i="1"/>
  <c r="P193" i="1"/>
  <c r="O193" i="1"/>
  <c r="N193" i="1"/>
  <c r="M193" i="1"/>
  <c r="L193" i="1"/>
  <c r="K193" i="1"/>
  <c r="Q192" i="1"/>
  <c r="P192" i="1"/>
  <c r="O192" i="1"/>
  <c r="N192" i="1"/>
  <c r="M192" i="1"/>
  <c r="L192" i="1"/>
  <c r="K192" i="1"/>
  <c r="Q191" i="1"/>
  <c r="P191" i="1"/>
  <c r="O191" i="1"/>
  <c r="N191" i="1"/>
  <c r="M191" i="1"/>
  <c r="L191" i="1"/>
  <c r="K191" i="1"/>
  <c r="Q190" i="1"/>
  <c r="P190" i="1"/>
  <c r="O190" i="1"/>
  <c r="N190" i="1"/>
  <c r="M190" i="1"/>
  <c r="L190" i="1"/>
  <c r="K190" i="1"/>
  <c r="Q189" i="1"/>
  <c r="P189" i="1"/>
  <c r="O189" i="1"/>
  <c r="N189" i="1"/>
  <c r="M189" i="1"/>
  <c r="L189" i="1"/>
  <c r="K189" i="1"/>
  <c r="Q188" i="1"/>
  <c r="P188" i="1"/>
  <c r="O188" i="1"/>
  <c r="N188" i="1"/>
  <c r="M188" i="1"/>
  <c r="L188" i="1"/>
  <c r="K188" i="1"/>
  <c r="Q187" i="1"/>
  <c r="P187" i="1"/>
  <c r="O187" i="1"/>
  <c r="N187" i="1"/>
  <c r="M187" i="1"/>
  <c r="L187" i="1"/>
  <c r="K187" i="1"/>
  <c r="Q186" i="1"/>
  <c r="P186" i="1"/>
  <c r="O186" i="1"/>
  <c r="N186" i="1"/>
  <c r="M186" i="1"/>
  <c r="L186" i="1"/>
  <c r="K186" i="1"/>
  <c r="Q185" i="1"/>
  <c r="P185" i="1"/>
  <c r="O185" i="1"/>
  <c r="N185" i="1"/>
  <c r="M185" i="1"/>
  <c r="L185" i="1"/>
  <c r="K185" i="1"/>
  <c r="Q184" i="1"/>
  <c r="P184" i="1"/>
  <c r="O184" i="1"/>
  <c r="N184" i="1"/>
  <c r="M184" i="1"/>
  <c r="L184" i="1"/>
  <c r="K184" i="1"/>
  <c r="Q183" i="1"/>
  <c r="P183" i="1"/>
  <c r="O183" i="1"/>
  <c r="N183" i="1"/>
  <c r="M183" i="1"/>
  <c r="L183" i="1"/>
  <c r="K183" i="1"/>
  <c r="Q182" i="1"/>
  <c r="P182" i="1"/>
  <c r="O182" i="1"/>
  <c r="N182" i="1"/>
  <c r="M182" i="1"/>
  <c r="L182" i="1"/>
  <c r="K182" i="1"/>
  <c r="Q181" i="1"/>
  <c r="P181" i="1"/>
  <c r="O181" i="1"/>
  <c r="N181" i="1"/>
  <c r="M181" i="1"/>
  <c r="L181" i="1"/>
  <c r="K181" i="1"/>
  <c r="Q180" i="1"/>
  <c r="P180" i="1"/>
  <c r="O180" i="1"/>
  <c r="N180" i="1"/>
  <c r="M180" i="1"/>
  <c r="L180" i="1"/>
  <c r="K180" i="1"/>
  <c r="Q179" i="1"/>
  <c r="P179" i="1"/>
  <c r="O179" i="1"/>
  <c r="N179" i="1"/>
  <c r="M179" i="1"/>
  <c r="L179" i="1"/>
  <c r="K179" i="1"/>
  <c r="Q178" i="1"/>
  <c r="P178" i="1"/>
  <c r="O178" i="1"/>
  <c r="N178" i="1"/>
  <c r="M178" i="1"/>
  <c r="L178" i="1"/>
  <c r="K178" i="1"/>
  <c r="Q177" i="1"/>
  <c r="P177" i="1"/>
  <c r="O177" i="1"/>
  <c r="N177" i="1"/>
  <c r="M177" i="1"/>
  <c r="L177" i="1"/>
  <c r="K177" i="1"/>
  <c r="Q176" i="1"/>
  <c r="P176" i="1"/>
  <c r="O176" i="1"/>
  <c r="N176" i="1"/>
  <c r="M176" i="1"/>
  <c r="L176" i="1"/>
  <c r="K176" i="1"/>
  <c r="Q175" i="1"/>
  <c r="P175" i="1"/>
  <c r="O175" i="1"/>
  <c r="N175" i="1"/>
  <c r="M175" i="1"/>
  <c r="L175" i="1"/>
  <c r="K175" i="1"/>
  <c r="Q174" i="1"/>
  <c r="P174" i="1"/>
  <c r="O174" i="1"/>
  <c r="N174" i="1"/>
  <c r="M174" i="1"/>
  <c r="L174" i="1"/>
  <c r="K174" i="1"/>
  <c r="Q173" i="1"/>
  <c r="P173" i="1"/>
  <c r="O173" i="1"/>
  <c r="N173" i="1"/>
  <c r="M173" i="1"/>
  <c r="L173" i="1"/>
  <c r="K173" i="1"/>
  <c r="Q172" i="1"/>
  <c r="P172" i="1"/>
  <c r="O172" i="1"/>
  <c r="N172" i="1"/>
  <c r="M172" i="1"/>
  <c r="L172" i="1"/>
  <c r="K172" i="1"/>
  <c r="Q171" i="1"/>
  <c r="P171" i="1"/>
  <c r="O171" i="1"/>
  <c r="N171" i="1"/>
  <c r="M171" i="1"/>
  <c r="L171" i="1"/>
  <c r="K171" i="1"/>
  <c r="Q170" i="1"/>
  <c r="P170" i="1"/>
  <c r="O170" i="1"/>
  <c r="N170" i="1"/>
  <c r="M170" i="1"/>
  <c r="L170" i="1"/>
  <c r="K170" i="1"/>
  <c r="Q169" i="1"/>
  <c r="P169" i="1"/>
  <c r="O169" i="1"/>
  <c r="N169" i="1"/>
  <c r="M169" i="1"/>
  <c r="L169" i="1"/>
  <c r="K169" i="1"/>
  <c r="Q168" i="1"/>
  <c r="P168" i="1"/>
  <c r="O168" i="1"/>
  <c r="N168" i="1"/>
  <c r="M168" i="1"/>
  <c r="L168" i="1"/>
  <c r="K168" i="1"/>
  <c r="Q167" i="1"/>
  <c r="P167" i="1"/>
  <c r="O167" i="1"/>
  <c r="N167" i="1"/>
  <c r="M167" i="1"/>
  <c r="L167" i="1"/>
  <c r="K167" i="1"/>
  <c r="Q166" i="1"/>
  <c r="P166" i="1"/>
  <c r="O166" i="1"/>
  <c r="N166" i="1"/>
  <c r="M166" i="1"/>
  <c r="L166" i="1"/>
  <c r="K166" i="1"/>
  <c r="Q165" i="1"/>
  <c r="P165" i="1"/>
  <c r="O165" i="1"/>
  <c r="N165" i="1"/>
  <c r="M165" i="1"/>
  <c r="L165" i="1"/>
  <c r="K165" i="1"/>
  <c r="Q164" i="1"/>
  <c r="P164" i="1"/>
  <c r="O164" i="1"/>
  <c r="N164" i="1"/>
  <c r="M164" i="1"/>
  <c r="L164" i="1"/>
  <c r="K164" i="1"/>
  <c r="Q163" i="1"/>
  <c r="P163" i="1"/>
  <c r="O163" i="1"/>
  <c r="N163" i="1"/>
  <c r="M163" i="1"/>
  <c r="L163" i="1"/>
  <c r="K163" i="1"/>
  <c r="Q162" i="1"/>
  <c r="P162" i="1"/>
  <c r="O162" i="1"/>
  <c r="N162" i="1"/>
  <c r="M162" i="1"/>
  <c r="L162" i="1"/>
  <c r="K162" i="1"/>
  <c r="Q161" i="1"/>
  <c r="P161" i="1"/>
  <c r="O161" i="1"/>
  <c r="N161" i="1"/>
  <c r="M161" i="1"/>
  <c r="L161" i="1"/>
  <c r="K161" i="1"/>
  <c r="Q160" i="1"/>
  <c r="P160" i="1"/>
  <c r="O160" i="1"/>
  <c r="N160" i="1"/>
  <c r="M160" i="1"/>
  <c r="L160" i="1"/>
  <c r="K160" i="1"/>
  <c r="Q159" i="1"/>
  <c r="P159" i="1"/>
  <c r="O159" i="1"/>
  <c r="N159" i="1"/>
  <c r="M159" i="1"/>
  <c r="L159" i="1"/>
  <c r="K159" i="1"/>
  <c r="Q158" i="1"/>
  <c r="P158" i="1"/>
  <c r="O158" i="1"/>
  <c r="N158" i="1"/>
  <c r="M158" i="1"/>
  <c r="L158" i="1"/>
  <c r="K158" i="1"/>
  <c r="Q157" i="1"/>
  <c r="P157" i="1"/>
  <c r="O157" i="1"/>
  <c r="N157" i="1"/>
  <c r="M157" i="1"/>
  <c r="L157" i="1"/>
  <c r="K157" i="1"/>
  <c r="Q156" i="1"/>
  <c r="P156" i="1"/>
  <c r="O156" i="1"/>
  <c r="N156" i="1"/>
  <c r="M156" i="1"/>
  <c r="L156" i="1"/>
  <c r="K156" i="1"/>
  <c r="Q155" i="1"/>
  <c r="P155" i="1"/>
  <c r="O155" i="1"/>
  <c r="N155" i="1"/>
  <c r="M155" i="1"/>
  <c r="L155" i="1"/>
  <c r="K155" i="1"/>
  <c r="Q154" i="1"/>
  <c r="P154" i="1"/>
  <c r="O154" i="1"/>
  <c r="N154" i="1"/>
  <c r="M154" i="1"/>
  <c r="L154" i="1"/>
  <c r="K154" i="1"/>
  <c r="Q153" i="1"/>
  <c r="P153" i="1"/>
  <c r="O153" i="1"/>
  <c r="N153" i="1"/>
  <c r="M153" i="1"/>
  <c r="L153" i="1"/>
  <c r="K153" i="1"/>
  <c r="Q152" i="1"/>
  <c r="P152" i="1"/>
  <c r="O152" i="1"/>
  <c r="N152" i="1"/>
  <c r="M152" i="1"/>
  <c r="L152" i="1"/>
  <c r="K152" i="1"/>
  <c r="Q151" i="1"/>
  <c r="P151" i="1"/>
  <c r="O151" i="1"/>
  <c r="N151" i="1"/>
  <c r="M151" i="1"/>
  <c r="L151" i="1"/>
  <c r="K151" i="1"/>
  <c r="Q150" i="1"/>
  <c r="P150" i="1"/>
  <c r="O150" i="1"/>
  <c r="N150" i="1"/>
  <c r="M150" i="1"/>
  <c r="L150" i="1"/>
  <c r="K150" i="1"/>
  <c r="Q149" i="1"/>
  <c r="P149" i="1"/>
  <c r="O149" i="1"/>
  <c r="N149" i="1"/>
  <c r="M149" i="1"/>
  <c r="L149" i="1"/>
  <c r="K149" i="1"/>
  <c r="Q148" i="1"/>
  <c r="P148" i="1"/>
  <c r="O148" i="1"/>
  <c r="N148" i="1"/>
  <c r="M148" i="1"/>
  <c r="L148" i="1"/>
  <c r="K148" i="1"/>
  <c r="Q147" i="1"/>
  <c r="P147" i="1"/>
  <c r="O147" i="1"/>
  <c r="N147" i="1"/>
  <c r="M147" i="1"/>
  <c r="L147" i="1"/>
  <c r="K147" i="1"/>
  <c r="Q146" i="1"/>
  <c r="P146" i="1"/>
  <c r="O146" i="1"/>
  <c r="N146" i="1"/>
  <c r="M146" i="1"/>
  <c r="L146" i="1"/>
  <c r="K146" i="1"/>
  <c r="Q145" i="1"/>
  <c r="P145" i="1"/>
  <c r="O145" i="1"/>
  <c r="N145" i="1"/>
  <c r="M145" i="1"/>
  <c r="L145" i="1"/>
  <c r="K145" i="1"/>
  <c r="Q144" i="1"/>
  <c r="P144" i="1"/>
  <c r="O144" i="1"/>
  <c r="N144" i="1"/>
  <c r="M144" i="1"/>
  <c r="L144" i="1"/>
  <c r="K144" i="1"/>
  <c r="Q143" i="1"/>
  <c r="P143" i="1"/>
  <c r="O143" i="1"/>
  <c r="N143" i="1"/>
  <c r="M143" i="1"/>
  <c r="L143" i="1"/>
  <c r="K143" i="1"/>
  <c r="Q142" i="1"/>
  <c r="P142" i="1"/>
  <c r="O142" i="1"/>
  <c r="N142" i="1"/>
  <c r="M142" i="1"/>
  <c r="L142" i="1"/>
  <c r="K142" i="1"/>
  <c r="Q141" i="1"/>
  <c r="P141" i="1"/>
  <c r="O141" i="1"/>
  <c r="N141" i="1"/>
  <c r="M141" i="1"/>
  <c r="L141" i="1"/>
  <c r="K141" i="1"/>
  <c r="Q140" i="1"/>
  <c r="P140" i="1"/>
  <c r="O140" i="1"/>
  <c r="N140" i="1"/>
  <c r="M140" i="1"/>
  <c r="L140" i="1"/>
  <c r="K140" i="1"/>
  <c r="Q139" i="1"/>
  <c r="P139" i="1"/>
  <c r="O139" i="1"/>
  <c r="N139" i="1"/>
  <c r="M139" i="1"/>
  <c r="L139" i="1"/>
  <c r="K139" i="1"/>
  <c r="Q138" i="1"/>
  <c r="P138" i="1"/>
  <c r="O138" i="1"/>
  <c r="N138" i="1"/>
  <c r="M138" i="1"/>
  <c r="L138" i="1"/>
  <c r="K138" i="1"/>
  <c r="Q137" i="1"/>
  <c r="P137" i="1"/>
  <c r="O137" i="1"/>
  <c r="N137" i="1"/>
  <c r="M137" i="1"/>
  <c r="L137" i="1"/>
  <c r="K137" i="1"/>
  <c r="Q136" i="1"/>
  <c r="P136" i="1"/>
  <c r="O136" i="1"/>
  <c r="N136" i="1"/>
  <c r="M136" i="1"/>
  <c r="L136" i="1"/>
  <c r="K136" i="1"/>
  <c r="Q135" i="1"/>
  <c r="P135" i="1"/>
  <c r="O135" i="1"/>
  <c r="N135" i="1"/>
  <c r="M135" i="1"/>
  <c r="L135" i="1"/>
  <c r="K135" i="1"/>
  <c r="Q134" i="1"/>
  <c r="P134" i="1"/>
  <c r="O134" i="1"/>
  <c r="N134" i="1"/>
  <c r="M134" i="1"/>
  <c r="L134" i="1"/>
  <c r="K134" i="1"/>
  <c r="Q133" i="1"/>
  <c r="P133" i="1"/>
  <c r="O133" i="1"/>
  <c r="N133" i="1"/>
  <c r="M133" i="1"/>
  <c r="L133" i="1"/>
  <c r="K133" i="1"/>
  <c r="Q132" i="1"/>
  <c r="P132" i="1"/>
  <c r="O132" i="1"/>
  <c r="N132" i="1"/>
  <c r="M132" i="1"/>
  <c r="L132" i="1"/>
  <c r="K132" i="1"/>
  <c r="Q131" i="1"/>
  <c r="P131" i="1"/>
  <c r="O131" i="1"/>
  <c r="N131" i="1"/>
  <c r="M131" i="1"/>
  <c r="L131" i="1"/>
  <c r="K131" i="1"/>
  <c r="Q130" i="1"/>
  <c r="P130" i="1"/>
  <c r="O130" i="1"/>
  <c r="N130" i="1"/>
  <c r="M130" i="1"/>
  <c r="L130" i="1"/>
  <c r="K130" i="1"/>
  <c r="Q129" i="1"/>
  <c r="P129" i="1"/>
  <c r="O129" i="1"/>
  <c r="N129" i="1"/>
  <c r="M129" i="1"/>
  <c r="L129" i="1"/>
  <c r="K129" i="1"/>
  <c r="Q128" i="1"/>
  <c r="P128" i="1"/>
  <c r="O128" i="1"/>
  <c r="N128" i="1"/>
  <c r="M128" i="1"/>
  <c r="L128" i="1"/>
  <c r="K128" i="1"/>
  <c r="Q127" i="1"/>
  <c r="P127" i="1"/>
  <c r="O127" i="1"/>
  <c r="N127" i="1"/>
  <c r="M127" i="1"/>
  <c r="L127" i="1"/>
  <c r="K127" i="1"/>
  <c r="Q126" i="1"/>
  <c r="P126" i="1"/>
  <c r="O126" i="1"/>
  <c r="N126" i="1"/>
  <c r="M126" i="1"/>
  <c r="L126" i="1"/>
  <c r="K126" i="1"/>
  <c r="Q125" i="1"/>
  <c r="P125" i="1"/>
  <c r="O125" i="1"/>
  <c r="N125" i="1"/>
  <c r="M125" i="1"/>
  <c r="L125" i="1"/>
  <c r="K125" i="1"/>
  <c r="Q124" i="1"/>
  <c r="P124" i="1"/>
  <c r="O124" i="1"/>
  <c r="N124" i="1"/>
  <c r="M124" i="1"/>
  <c r="L124" i="1"/>
  <c r="K124" i="1"/>
  <c r="Q123" i="1"/>
  <c r="P123" i="1"/>
  <c r="O123" i="1"/>
  <c r="N123" i="1"/>
  <c r="M123" i="1"/>
  <c r="L123" i="1"/>
  <c r="K123" i="1"/>
  <c r="Q122" i="1"/>
  <c r="P122" i="1"/>
  <c r="O122" i="1"/>
  <c r="N122" i="1"/>
  <c r="M122" i="1"/>
  <c r="L122" i="1"/>
  <c r="K122" i="1"/>
  <c r="Q121" i="1"/>
  <c r="P121" i="1"/>
  <c r="O121" i="1"/>
  <c r="N121" i="1"/>
  <c r="M121" i="1"/>
  <c r="L121" i="1"/>
  <c r="K121" i="1"/>
  <c r="Q120" i="1"/>
  <c r="P120" i="1"/>
  <c r="O120" i="1"/>
  <c r="N120" i="1"/>
  <c r="M120" i="1"/>
  <c r="L120" i="1"/>
  <c r="K120" i="1"/>
  <c r="Q119" i="1"/>
  <c r="P119" i="1"/>
  <c r="O119" i="1"/>
  <c r="N119" i="1"/>
  <c r="M119" i="1"/>
  <c r="L119" i="1"/>
  <c r="K119" i="1"/>
  <c r="Q118" i="1"/>
  <c r="P118" i="1"/>
  <c r="O118" i="1"/>
  <c r="N118" i="1"/>
  <c r="M118" i="1"/>
  <c r="L118" i="1"/>
  <c r="K118" i="1"/>
  <c r="Q117" i="1"/>
  <c r="P117" i="1"/>
  <c r="O117" i="1"/>
  <c r="N117" i="1"/>
  <c r="M117" i="1"/>
  <c r="L117" i="1"/>
  <c r="K117" i="1"/>
  <c r="Q116" i="1"/>
  <c r="P116" i="1"/>
  <c r="O116" i="1"/>
  <c r="N116" i="1"/>
  <c r="M116" i="1"/>
  <c r="L116" i="1"/>
  <c r="K116" i="1"/>
  <c r="Q115" i="1"/>
  <c r="P115" i="1"/>
  <c r="O115" i="1"/>
  <c r="N115" i="1"/>
  <c r="M115" i="1"/>
  <c r="L115" i="1"/>
  <c r="K115" i="1"/>
  <c r="Q114" i="1"/>
  <c r="P114" i="1"/>
  <c r="O114" i="1"/>
  <c r="N114" i="1"/>
  <c r="M114" i="1"/>
  <c r="L114" i="1"/>
  <c r="K114" i="1"/>
  <c r="Q113" i="1"/>
  <c r="P113" i="1"/>
  <c r="O113" i="1"/>
  <c r="N113" i="1"/>
  <c r="M113" i="1"/>
  <c r="L113" i="1"/>
  <c r="K113" i="1"/>
  <c r="Q112" i="1"/>
  <c r="P112" i="1"/>
  <c r="O112" i="1"/>
  <c r="N112" i="1"/>
  <c r="M112" i="1"/>
  <c r="L112" i="1"/>
  <c r="K112" i="1"/>
  <c r="Q111" i="1"/>
  <c r="P111" i="1"/>
  <c r="O111" i="1"/>
  <c r="N111" i="1"/>
  <c r="M111" i="1"/>
  <c r="L111" i="1"/>
  <c r="K111" i="1"/>
  <c r="Q110" i="1"/>
  <c r="P110" i="1"/>
  <c r="O110" i="1"/>
  <c r="N110" i="1"/>
  <c r="M110" i="1"/>
  <c r="L110" i="1"/>
  <c r="K110" i="1"/>
  <c r="Q109" i="1"/>
  <c r="P109" i="1"/>
  <c r="O109" i="1"/>
  <c r="N109" i="1"/>
  <c r="M109" i="1"/>
  <c r="L109" i="1"/>
  <c r="K109" i="1"/>
  <c r="Q108" i="1"/>
  <c r="P108" i="1"/>
  <c r="O108" i="1"/>
  <c r="N108" i="1"/>
  <c r="M108" i="1"/>
  <c r="L108" i="1"/>
  <c r="K108" i="1"/>
  <c r="Q107" i="1"/>
  <c r="P107" i="1"/>
  <c r="O107" i="1"/>
  <c r="N107" i="1"/>
  <c r="M107" i="1"/>
  <c r="L107" i="1"/>
  <c r="K107" i="1"/>
  <c r="Q106" i="1"/>
  <c r="P106" i="1"/>
  <c r="O106" i="1"/>
  <c r="N106" i="1"/>
  <c r="M106" i="1"/>
  <c r="L106" i="1"/>
  <c r="K106" i="1"/>
  <c r="Q105" i="1"/>
  <c r="P105" i="1"/>
  <c r="O105" i="1"/>
  <c r="N105" i="1"/>
  <c r="M105" i="1"/>
  <c r="L105" i="1"/>
  <c r="K105" i="1"/>
  <c r="Q104" i="1"/>
  <c r="P104" i="1"/>
  <c r="O104" i="1"/>
  <c r="N104" i="1"/>
  <c r="M104" i="1"/>
  <c r="L104" i="1"/>
  <c r="K104" i="1"/>
  <c r="Q103" i="1"/>
  <c r="P103" i="1"/>
  <c r="O103" i="1"/>
  <c r="N103" i="1"/>
  <c r="M103" i="1"/>
  <c r="L103" i="1"/>
  <c r="K103" i="1"/>
  <c r="Q102" i="1"/>
  <c r="P102" i="1"/>
  <c r="O102" i="1"/>
  <c r="N102" i="1"/>
  <c r="M102" i="1"/>
  <c r="L102" i="1"/>
  <c r="K102" i="1"/>
  <c r="Q101" i="1"/>
  <c r="P101" i="1"/>
  <c r="O101" i="1"/>
  <c r="N101" i="1"/>
  <c r="M101" i="1"/>
  <c r="L101" i="1"/>
  <c r="K101" i="1"/>
  <c r="Q100" i="1"/>
  <c r="P100" i="1"/>
  <c r="O100" i="1"/>
  <c r="N100" i="1"/>
  <c r="M100" i="1"/>
  <c r="L100" i="1"/>
  <c r="K100" i="1"/>
  <c r="Q99" i="1"/>
  <c r="P99" i="1"/>
  <c r="O99" i="1"/>
  <c r="N99" i="1"/>
  <c r="M99" i="1"/>
  <c r="L99" i="1"/>
  <c r="K99" i="1"/>
  <c r="Q98" i="1"/>
  <c r="P98" i="1"/>
  <c r="O98" i="1"/>
  <c r="N98" i="1"/>
  <c r="M98" i="1"/>
  <c r="L98" i="1"/>
  <c r="K98" i="1"/>
  <c r="Q97" i="1"/>
  <c r="P97" i="1"/>
  <c r="O97" i="1"/>
  <c r="N97" i="1"/>
  <c r="M97" i="1"/>
  <c r="L97" i="1"/>
  <c r="K97" i="1"/>
  <c r="Q96" i="1"/>
  <c r="P96" i="1"/>
  <c r="O96" i="1"/>
  <c r="N96" i="1"/>
  <c r="M96" i="1"/>
  <c r="L96" i="1"/>
  <c r="K96" i="1"/>
  <c r="Q95" i="1"/>
  <c r="P95" i="1"/>
  <c r="O95" i="1"/>
  <c r="N95" i="1"/>
  <c r="M95" i="1"/>
  <c r="L95" i="1"/>
  <c r="K95" i="1"/>
  <c r="Q94" i="1"/>
  <c r="P94" i="1"/>
  <c r="O94" i="1"/>
  <c r="N94" i="1"/>
  <c r="M94" i="1"/>
  <c r="L94" i="1"/>
  <c r="K94" i="1"/>
  <c r="Q93" i="1"/>
  <c r="P93" i="1"/>
  <c r="O93" i="1"/>
  <c r="N93" i="1"/>
  <c r="M93" i="1"/>
  <c r="L93" i="1"/>
  <c r="K93" i="1"/>
  <c r="Q92" i="1"/>
  <c r="P92" i="1"/>
  <c r="O92" i="1"/>
  <c r="N92" i="1"/>
  <c r="M92" i="1"/>
  <c r="L92" i="1"/>
  <c r="K92" i="1"/>
  <c r="Q91" i="1"/>
  <c r="P91" i="1"/>
  <c r="O91" i="1"/>
  <c r="N91" i="1"/>
  <c r="M91" i="1"/>
  <c r="L91" i="1"/>
  <c r="K91" i="1"/>
  <c r="Q90" i="1"/>
  <c r="P90" i="1"/>
  <c r="O90" i="1"/>
  <c r="N90" i="1"/>
  <c r="M90" i="1"/>
  <c r="L90" i="1"/>
  <c r="K90" i="1"/>
  <c r="Q89" i="1"/>
  <c r="P89" i="1"/>
  <c r="O89" i="1"/>
  <c r="N89" i="1"/>
  <c r="M89" i="1"/>
  <c r="L89" i="1"/>
  <c r="K89" i="1"/>
  <c r="Q88" i="1"/>
  <c r="P88" i="1"/>
  <c r="O88" i="1"/>
  <c r="N88" i="1"/>
  <c r="M88" i="1"/>
  <c r="L88" i="1"/>
  <c r="K88" i="1"/>
  <c r="Q87" i="1"/>
  <c r="P87" i="1"/>
  <c r="O87" i="1"/>
  <c r="N87" i="1"/>
  <c r="M87" i="1"/>
  <c r="L87" i="1"/>
  <c r="K87" i="1"/>
  <c r="Q86" i="1"/>
  <c r="P86" i="1"/>
  <c r="O86" i="1"/>
  <c r="N86" i="1"/>
  <c r="M86" i="1"/>
  <c r="L86" i="1"/>
  <c r="K86" i="1"/>
  <c r="Q85" i="1"/>
  <c r="P85" i="1"/>
  <c r="O85" i="1"/>
  <c r="N85" i="1"/>
  <c r="M85" i="1"/>
  <c r="L85" i="1"/>
  <c r="K85" i="1"/>
  <c r="Q84" i="1"/>
  <c r="P84" i="1"/>
  <c r="O84" i="1"/>
  <c r="N84" i="1"/>
  <c r="M84" i="1"/>
  <c r="L84" i="1"/>
  <c r="K84" i="1"/>
  <c r="Q83" i="1"/>
  <c r="P83" i="1"/>
  <c r="O83" i="1"/>
  <c r="N83" i="1"/>
  <c r="M83" i="1"/>
  <c r="L83" i="1"/>
  <c r="K83" i="1"/>
  <c r="Q82" i="1"/>
  <c r="P82" i="1"/>
  <c r="O82" i="1"/>
  <c r="N82" i="1"/>
  <c r="M82" i="1"/>
  <c r="L82" i="1"/>
  <c r="K82" i="1"/>
  <c r="Q81" i="1"/>
  <c r="P81" i="1"/>
  <c r="O81" i="1"/>
  <c r="N81" i="1"/>
  <c r="M81" i="1"/>
  <c r="L81" i="1"/>
  <c r="K81" i="1"/>
  <c r="Q80" i="1"/>
  <c r="P80" i="1"/>
  <c r="O80" i="1"/>
  <c r="N80" i="1"/>
  <c r="M80" i="1"/>
  <c r="L80" i="1"/>
  <c r="K80" i="1"/>
  <c r="Q79" i="1"/>
  <c r="P79" i="1"/>
  <c r="O79" i="1"/>
  <c r="N79" i="1"/>
  <c r="M79" i="1"/>
  <c r="L79" i="1"/>
  <c r="K79" i="1"/>
  <c r="Q78" i="1"/>
  <c r="P78" i="1"/>
  <c r="O78" i="1"/>
  <c r="N78" i="1"/>
  <c r="M78" i="1"/>
  <c r="L78" i="1"/>
  <c r="K78" i="1"/>
  <c r="Q77" i="1"/>
  <c r="P77" i="1"/>
  <c r="O77" i="1"/>
  <c r="N77" i="1"/>
  <c r="M77" i="1"/>
  <c r="L77" i="1"/>
  <c r="K77" i="1"/>
  <c r="Q76" i="1"/>
  <c r="P76" i="1"/>
  <c r="O76" i="1"/>
  <c r="N76" i="1"/>
  <c r="M76" i="1"/>
  <c r="L76" i="1"/>
  <c r="K76" i="1"/>
  <c r="Q75" i="1"/>
  <c r="P75" i="1"/>
  <c r="O75" i="1"/>
  <c r="N75" i="1"/>
  <c r="M75" i="1"/>
  <c r="L75" i="1"/>
  <c r="K75" i="1"/>
  <c r="Q74" i="1"/>
  <c r="P74" i="1"/>
  <c r="O74" i="1"/>
  <c r="N74" i="1"/>
  <c r="M74" i="1"/>
  <c r="L74" i="1"/>
  <c r="K74" i="1"/>
  <c r="Q73" i="1"/>
  <c r="P73" i="1"/>
  <c r="O73" i="1"/>
  <c r="N73" i="1"/>
  <c r="M73" i="1"/>
  <c r="L73" i="1"/>
  <c r="K73" i="1"/>
  <c r="Q72" i="1"/>
  <c r="P72" i="1"/>
  <c r="O72" i="1"/>
  <c r="N72" i="1"/>
  <c r="M72" i="1"/>
  <c r="L72" i="1"/>
  <c r="K72" i="1"/>
  <c r="Q71" i="1"/>
  <c r="P71" i="1"/>
  <c r="O71" i="1"/>
  <c r="N71" i="1"/>
  <c r="M71" i="1"/>
  <c r="L71" i="1"/>
  <c r="K71" i="1"/>
  <c r="Q70" i="1"/>
  <c r="P70" i="1"/>
  <c r="O70" i="1"/>
  <c r="N70" i="1"/>
  <c r="M70" i="1"/>
  <c r="L70" i="1"/>
  <c r="K70" i="1"/>
  <c r="Q69" i="1"/>
  <c r="P69" i="1"/>
  <c r="O69" i="1"/>
  <c r="N69" i="1"/>
  <c r="M69" i="1"/>
  <c r="L69" i="1"/>
  <c r="K69" i="1"/>
  <c r="Q68" i="1"/>
  <c r="P68" i="1"/>
  <c r="O68" i="1"/>
  <c r="N68" i="1"/>
  <c r="M68" i="1"/>
  <c r="L68" i="1"/>
  <c r="K68" i="1"/>
  <c r="Q67" i="1"/>
  <c r="P67" i="1"/>
  <c r="O67" i="1"/>
  <c r="N67" i="1"/>
  <c r="M67" i="1"/>
  <c r="L67" i="1"/>
  <c r="K67" i="1"/>
  <c r="Q66" i="1"/>
  <c r="P66" i="1"/>
  <c r="O66" i="1"/>
  <c r="N66" i="1"/>
  <c r="M66" i="1"/>
  <c r="L66" i="1"/>
  <c r="K66" i="1"/>
  <c r="Q65" i="1"/>
  <c r="P65" i="1"/>
  <c r="O65" i="1"/>
  <c r="N65" i="1"/>
  <c r="M65" i="1"/>
  <c r="L65" i="1"/>
  <c r="K65" i="1"/>
  <c r="Q64" i="1"/>
  <c r="P64" i="1"/>
  <c r="O64" i="1"/>
  <c r="N64" i="1"/>
  <c r="M64" i="1"/>
  <c r="L64" i="1"/>
  <c r="K64" i="1"/>
  <c r="Q63" i="1"/>
  <c r="P63" i="1"/>
  <c r="O63" i="1"/>
  <c r="N63" i="1"/>
  <c r="M63" i="1"/>
  <c r="L63" i="1"/>
  <c r="K63" i="1"/>
  <c r="Q62" i="1"/>
  <c r="P62" i="1"/>
  <c r="O62" i="1"/>
  <c r="N62" i="1"/>
  <c r="M62" i="1"/>
  <c r="L62" i="1"/>
  <c r="K62" i="1"/>
  <c r="Q61" i="1"/>
  <c r="P61" i="1"/>
  <c r="O61" i="1"/>
  <c r="N61" i="1"/>
  <c r="M61" i="1"/>
  <c r="L61" i="1"/>
  <c r="K61" i="1"/>
  <c r="Q60" i="1"/>
  <c r="P60" i="1"/>
  <c r="O60" i="1"/>
  <c r="N60" i="1"/>
  <c r="M60" i="1"/>
  <c r="L60" i="1"/>
  <c r="K60" i="1"/>
  <c r="Q59" i="1"/>
  <c r="P59" i="1"/>
  <c r="O59" i="1"/>
  <c r="N59" i="1"/>
  <c r="M59" i="1"/>
  <c r="L59" i="1"/>
  <c r="K59" i="1"/>
  <c r="Q58" i="1"/>
  <c r="P58" i="1"/>
  <c r="O58" i="1"/>
  <c r="N58" i="1"/>
  <c r="M58" i="1"/>
  <c r="L58" i="1"/>
  <c r="K58" i="1"/>
  <c r="Q57" i="1"/>
  <c r="P57" i="1"/>
  <c r="O57" i="1"/>
  <c r="N57" i="1"/>
  <c r="M57" i="1"/>
  <c r="L57" i="1"/>
  <c r="K57" i="1"/>
  <c r="Q56" i="1"/>
  <c r="P56" i="1"/>
  <c r="O56" i="1"/>
  <c r="N56" i="1"/>
  <c r="M56" i="1"/>
  <c r="L56" i="1"/>
  <c r="K56" i="1"/>
  <c r="Q55" i="1"/>
  <c r="P55" i="1"/>
  <c r="O55" i="1"/>
  <c r="N55" i="1"/>
  <c r="M55" i="1"/>
  <c r="L55" i="1"/>
  <c r="K55" i="1"/>
  <c r="Q54" i="1"/>
  <c r="P54" i="1"/>
  <c r="O54" i="1"/>
  <c r="N54" i="1"/>
  <c r="M54" i="1"/>
  <c r="L54" i="1"/>
  <c r="K54" i="1"/>
  <c r="Q53" i="1"/>
  <c r="P53" i="1"/>
  <c r="O53" i="1"/>
  <c r="N53" i="1"/>
  <c r="M53" i="1"/>
  <c r="L53" i="1"/>
  <c r="K53" i="1"/>
  <c r="Q52" i="1"/>
  <c r="P52" i="1"/>
  <c r="O52" i="1"/>
  <c r="N52" i="1"/>
  <c r="M52" i="1"/>
  <c r="L52" i="1"/>
  <c r="K52" i="1"/>
  <c r="Q51" i="1"/>
  <c r="P51" i="1"/>
  <c r="O51" i="1"/>
  <c r="N51" i="1"/>
  <c r="M51" i="1"/>
  <c r="L51" i="1"/>
  <c r="K51" i="1"/>
  <c r="Q50" i="1"/>
  <c r="P50" i="1"/>
  <c r="O50" i="1"/>
  <c r="N50" i="1"/>
  <c r="M50" i="1"/>
  <c r="L50" i="1"/>
  <c r="K50" i="1"/>
  <c r="Q49" i="1"/>
  <c r="P49" i="1"/>
  <c r="O49" i="1"/>
  <c r="N49" i="1"/>
  <c r="M49" i="1"/>
  <c r="L49" i="1"/>
  <c r="K49" i="1"/>
  <c r="Q48" i="1"/>
  <c r="P48" i="1"/>
  <c r="O48" i="1"/>
  <c r="N48" i="1"/>
  <c r="M48" i="1"/>
  <c r="L48" i="1"/>
  <c r="K48" i="1"/>
  <c r="Q47" i="1"/>
  <c r="P47" i="1"/>
  <c r="O47" i="1"/>
  <c r="N47" i="1"/>
  <c r="M47" i="1"/>
  <c r="L47" i="1"/>
  <c r="K47" i="1"/>
  <c r="Q46" i="1"/>
  <c r="P46" i="1"/>
  <c r="O46" i="1"/>
  <c r="N46" i="1"/>
  <c r="M46" i="1"/>
  <c r="L46" i="1"/>
  <c r="K46" i="1"/>
  <c r="Q45" i="1"/>
  <c r="P45" i="1"/>
  <c r="O45" i="1"/>
  <c r="N45" i="1"/>
  <c r="M45" i="1"/>
  <c r="L45" i="1"/>
  <c r="K45" i="1"/>
  <c r="Q44" i="1"/>
  <c r="P44" i="1"/>
  <c r="O44" i="1"/>
  <c r="N44" i="1"/>
  <c r="M44" i="1"/>
  <c r="L44" i="1"/>
  <c r="K44" i="1"/>
  <c r="Q43" i="1"/>
  <c r="P43" i="1"/>
  <c r="O43" i="1"/>
  <c r="N43" i="1"/>
  <c r="M43" i="1"/>
  <c r="L43" i="1"/>
  <c r="K43" i="1"/>
  <c r="Q42" i="1"/>
  <c r="P42" i="1"/>
  <c r="O42" i="1"/>
  <c r="N42" i="1"/>
  <c r="M42" i="1"/>
  <c r="L42" i="1"/>
  <c r="K42" i="1"/>
  <c r="Q41" i="1"/>
  <c r="P41" i="1"/>
  <c r="O41" i="1"/>
  <c r="N41" i="1"/>
  <c r="M41" i="1"/>
  <c r="L41" i="1"/>
  <c r="K41" i="1"/>
  <c r="Q40" i="1"/>
  <c r="P40" i="1"/>
  <c r="O40" i="1"/>
  <c r="N40" i="1"/>
  <c r="M40" i="1"/>
  <c r="L40" i="1"/>
  <c r="K40" i="1"/>
  <c r="Q39" i="1"/>
  <c r="P39" i="1"/>
  <c r="O39" i="1"/>
  <c r="N39" i="1"/>
  <c r="M39" i="1"/>
  <c r="L39" i="1"/>
  <c r="K39" i="1"/>
  <c r="Q38" i="1"/>
  <c r="P38" i="1"/>
  <c r="O38" i="1"/>
  <c r="N38" i="1"/>
  <c r="M38" i="1"/>
  <c r="L38" i="1"/>
  <c r="K38" i="1"/>
  <c r="Q37" i="1"/>
  <c r="P37" i="1"/>
  <c r="O37" i="1"/>
  <c r="N37" i="1"/>
  <c r="M37" i="1"/>
  <c r="L37" i="1"/>
  <c r="K37" i="1"/>
  <c r="Q36" i="1"/>
  <c r="P36" i="1"/>
  <c r="O36" i="1"/>
  <c r="N36" i="1"/>
  <c r="M36" i="1"/>
  <c r="L36" i="1"/>
  <c r="K36" i="1"/>
  <c r="Q35" i="1"/>
  <c r="P35" i="1"/>
  <c r="O35" i="1"/>
  <c r="N35" i="1"/>
  <c r="M35" i="1"/>
  <c r="L35" i="1"/>
  <c r="K35" i="1"/>
  <c r="Q34" i="1"/>
  <c r="P34" i="1"/>
  <c r="O34" i="1"/>
  <c r="N34" i="1"/>
  <c r="M34" i="1"/>
  <c r="L34" i="1"/>
  <c r="K34" i="1"/>
  <c r="Q33" i="1"/>
  <c r="P33" i="1"/>
  <c r="O33" i="1"/>
  <c r="N33" i="1"/>
  <c r="M33" i="1"/>
  <c r="L33" i="1"/>
  <c r="K33" i="1"/>
  <c r="Q32" i="1"/>
  <c r="P32" i="1"/>
  <c r="O32" i="1"/>
  <c r="N32" i="1"/>
  <c r="M32" i="1"/>
  <c r="L32" i="1"/>
  <c r="K32" i="1"/>
  <c r="Q31" i="1"/>
  <c r="P31" i="1"/>
  <c r="O31" i="1"/>
  <c r="N31" i="1"/>
  <c r="M31" i="1"/>
  <c r="L31" i="1"/>
  <c r="K31" i="1"/>
  <c r="Q30" i="1"/>
  <c r="P30" i="1"/>
  <c r="O30" i="1"/>
  <c r="N30" i="1"/>
  <c r="M30" i="1"/>
  <c r="L30" i="1"/>
  <c r="K30" i="1"/>
  <c r="Q29" i="1"/>
  <c r="P29" i="1"/>
  <c r="O29" i="1"/>
  <c r="N29" i="1"/>
  <c r="M29" i="1"/>
  <c r="L29" i="1"/>
  <c r="K29" i="1"/>
  <c r="Q28" i="1"/>
  <c r="P28" i="1"/>
  <c r="O28" i="1"/>
  <c r="N28" i="1"/>
  <c r="M28" i="1"/>
  <c r="L28" i="1"/>
  <c r="K28" i="1"/>
  <c r="Q27" i="1"/>
  <c r="P27" i="1"/>
  <c r="O27" i="1"/>
  <c r="N27" i="1"/>
  <c r="M27" i="1"/>
  <c r="L27" i="1"/>
  <c r="K27" i="1"/>
  <c r="Q26" i="1"/>
  <c r="P26" i="1"/>
  <c r="O26" i="1"/>
  <c r="N26" i="1"/>
  <c r="M26" i="1"/>
  <c r="L26" i="1"/>
  <c r="K26" i="1"/>
  <c r="K71" i="6"/>
  <c r="K69" i="6"/>
  <c r="K73" i="6"/>
  <c r="K72" i="6"/>
  <c r="K70" i="6"/>
  <c r="M27" i="4"/>
  <c r="N27" i="4"/>
  <c r="R10" i="4"/>
  <c r="S27" i="4"/>
  <c r="O27" i="4"/>
  <c r="Q27" i="4"/>
  <c r="P103" i="4"/>
  <c r="O59" i="4"/>
  <c r="R90" i="4"/>
  <c r="Q103" i="4"/>
  <c r="L114" i="10"/>
  <c r="S86" i="4"/>
  <c r="N20" i="4"/>
  <c r="Q10" i="4"/>
  <c r="R117" i="4"/>
  <c r="O34" i="4"/>
  <c r="R79" i="4"/>
  <c r="Q51" i="4"/>
  <c r="Q98" i="4"/>
  <c r="L46" i="4"/>
  <c r="L53" i="4"/>
  <c r="N53" i="4"/>
  <c r="Q53" i="4"/>
  <c r="N98" i="4"/>
  <c r="P13" i="4"/>
  <c r="R16" i="4"/>
  <c r="Q87" i="4"/>
  <c r="N37" i="4"/>
  <c r="R19" i="4"/>
  <c r="R71" i="4"/>
  <c r="N19" i="4"/>
  <c r="S19" i="4"/>
  <c r="M19" i="4"/>
  <c r="O263" i="1"/>
  <c r="Q263" i="1"/>
  <c r="N35" i="4"/>
  <c r="L104" i="4"/>
  <c r="N62" i="4"/>
  <c r="P49" i="4"/>
  <c r="P20" i="4"/>
  <c r="Q21" i="4"/>
  <c r="P21" i="4"/>
  <c r="S20" i="4"/>
  <c r="Q18" i="4"/>
  <c r="M44" i="4"/>
  <c r="N4" i="4"/>
  <c r="L20" i="4"/>
  <c r="L27" i="4"/>
  <c r="R27" i="4"/>
  <c r="M53" i="4"/>
  <c r="O21" i="4"/>
  <c r="S21" i="4"/>
  <c r="R21" i="4"/>
  <c r="M97" i="4"/>
  <c r="O104" i="4"/>
  <c r="Q100" i="4"/>
  <c r="R104" i="4"/>
  <c r="P104" i="4"/>
  <c r="M49" i="4"/>
  <c r="M104" i="4"/>
  <c r="P100" i="4"/>
  <c r="M75" i="4"/>
  <c r="N103" i="4"/>
  <c r="P29" i="4"/>
  <c r="S103" i="4"/>
  <c r="O107" i="4"/>
  <c r="R66" i="4"/>
  <c r="M29" i="4"/>
  <c r="L29" i="4"/>
  <c r="N29" i="4"/>
  <c r="P59" i="4"/>
  <c r="S35" i="4"/>
  <c r="O19" i="4"/>
  <c r="S51" i="4"/>
  <c r="P15" i="4"/>
  <c r="L19" i="4"/>
  <c r="Q19" i="4"/>
  <c r="S75" i="4"/>
  <c r="O86" i="4"/>
  <c r="L94" i="4"/>
  <c r="M103" i="4"/>
  <c r="L107" i="4"/>
  <c r="P99" i="4"/>
  <c r="Q29" i="4"/>
  <c r="R29" i="4"/>
  <c r="M60" i="4"/>
  <c r="M107" i="4"/>
  <c r="O103" i="4"/>
  <c r="O28" i="4"/>
  <c r="R15" i="4"/>
  <c r="O15" i="4"/>
  <c r="R53" i="4"/>
  <c r="O53" i="4"/>
  <c r="O29" i="4"/>
  <c r="L75" i="4"/>
  <c r="R103" i="4"/>
  <c r="P98" i="4"/>
  <c r="S98" i="4"/>
  <c r="O111" i="4"/>
  <c r="N263" i="1"/>
  <c r="O254" i="1"/>
  <c r="Q244" i="1"/>
  <c r="P277" i="1"/>
  <c r="N277" i="1"/>
  <c r="L61" i="4"/>
  <c r="S61" i="4"/>
  <c r="S67" i="4"/>
  <c r="O61" i="4"/>
  <c r="R60" i="4"/>
  <c r="P60" i="4"/>
  <c r="Q60" i="4"/>
  <c r="N57" i="4"/>
  <c r="M57" i="4"/>
  <c r="P35" i="4"/>
  <c r="Q35" i="4"/>
  <c r="Q9" i="4"/>
  <c r="O9" i="4"/>
  <c r="R67" i="4"/>
  <c r="P67" i="4"/>
  <c r="M67" i="4"/>
  <c r="N67" i="4"/>
  <c r="P36" i="4"/>
  <c r="O67" i="4"/>
  <c r="L35" i="4"/>
  <c r="O35" i="4"/>
  <c r="L67" i="4"/>
  <c r="O57" i="4"/>
  <c r="P9" i="4"/>
  <c r="S47" i="4"/>
  <c r="N38" i="4"/>
  <c r="O33" i="4"/>
  <c r="Q56" i="4"/>
  <c r="O70" i="4"/>
  <c r="S70" i="4"/>
  <c r="M35" i="4"/>
  <c r="N59" i="4"/>
  <c r="S53" i="4"/>
  <c r="N9" i="4"/>
  <c r="L9" i="4"/>
  <c r="R23" i="4"/>
  <c r="P14" i="4"/>
  <c r="H97" i="15"/>
  <c r="L83" i="4"/>
  <c r="R83" i="4"/>
  <c r="P83" i="4"/>
  <c r="Q83" i="4"/>
  <c r="Q96" i="4"/>
  <c r="P96" i="4"/>
  <c r="N83" i="4"/>
  <c r="Q75" i="4"/>
  <c r="N75" i="4"/>
  <c r="O75" i="4"/>
  <c r="S95" i="4"/>
  <c r="N92" i="4"/>
  <c r="N86" i="4"/>
  <c r="M86" i="4"/>
  <c r="R86" i="4"/>
  <c r="Q86" i="4"/>
  <c r="L110" i="4"/>
  <c r="O83" i="4"/>
  <c r="R75" i="4"/>
  <c r="N96" i="4"/>
  <c r="L86" i="4"/>
  <c r="N87" i="4"/>
  <c r="M87" i="4"/>
  <c r="L87" i="4"/>
  <c r="P87" i="4"/>
  <c r="M244" i="1"/>
  <c r="R106" i="4"/>
  <c r="R105" i="4"/>
  <c r="S105" i="4"/>
  <c r="M105" i="4"/>
  <c r="P254" i="1"/>
  <c r="N84" i="4"/>
  <c r="O105" i="4"/>
  <c r="O98" i="4"/>
  <c r="M98" i="4"/>
  <c r="K254" i="1"/>
  <c r="L98" i="4"/>
  <c r="M111" i="4"/>
  <c r="O117" i="4"/>
  <c r="N275" i="1"/>
  <c r="M41" i="4"/>
  <c r="P41" i="4"/>
  <c r="O43" i="4"/>
  <c r="Q43" i="4"/>
  <c r="O36" i="4"/>
  <c r="L43" i="4"/>
  <c r="R61" i="4"/>
  <c r="L50" i="4"/>
  <c r="L73" i="4"/>
  <c r="M69" i="4"/>
  <c r="L47" i="4"/>
  <c r="L10" i="4"/>
  <c r="M10" i="4"/>
  <c r="N10" i="4"/>
  <c r="N58" i="4"/>
  <c r="Q30" i="4"/>
  <c r="P30" i="4"/>
  <c r="L41" i="4"/>
  <c r="Q36" i="4"/>
  <c r="S68" i="4"/>
  <c r="Q69" i="4"/>
  <c r="R43" i="4"/>
  <c r="M43" i="4"/>
  <c r="S10" i="4"/>
  <c r="O49" i="4"/>
  <c r="R49" i="4"/>
  <c r="Q49" i="4"/>
  <c r="S37" i="4"/>
  <c r="L37" i="4"/>
  <c r="Q37" i="4"/>
  <c r="P5" i="4"/>
  <c r="P61" i="4"/>
  <c r="N61" i="4"/>
  <c r="M61" i="4"/>
  <c r="S41" i="4"/>
  <c r="R41" i="4"/>
  <c r="Q41" i="4"/>
  <c r="L30" i="4"/>
  <c r="L14" i="4"/>
  <c r="O14" i="4"/>
  <c r="L49" i="4"/>
  <c r="N49" i="4"/>
  <c r="R69" i="4"/>
  <c r="Q61" i="4"/>
  <c r="P43" i="4"/>
  <c r="O30" i="4"/>
  <c r="S69" i="4"/>
  <c r="O37" i="4"/>
  <c r="N2" i="4"/>
  <c r="L69" i="4"/>
  <c r="Q59" i="4"/>
  <c r="R59" i="4"/>
  <c r="L59" i="4"/>
  <c r="M59" i="4"/>
  <c r="S43" i="4"/>
  <c r="O41" i="4"/>
  <c r="O10" i="4"/>
  <c r="O8" i="4"/>
  <c r="S110" i="4"/>
  <c r="P110" i="4"/>
  <c r="M110" i="4"/>
  <c r="R110" i="4"/>
  <c r="O110" i="4"/>
  <c r="N110" i="4"/>
  <c r="Q110" i="4"/>
  <c r="M106" i="4"/>
  <c r="L106" i="4"/>
  <c r="S106" i="4"/>
  <c r="Q106" i="4"/>
  <c r="N106" i="4"/>
  <c r="P106" i="4"/>
  <c r="N102" i="4"/>
  <c r="L112" i="10"/>
  <c r="L264" i="1"/>
  <c r="M264" i="1"/>
  <c r="N21" i="4"/>
  <c r="M21" i="4"/>
  <c r="R9" i="4"/>
  <c r="M9" i="4"/>
  <c r="S9" i="4"/>
  <c r="R91" i="4"/>
  <c r="M85" i="4"/>
  <c r="N80" i="4"/>
  <c r="O112" i="4"/>
  <c r="S112" i="4"/>
  <c r="L112" i="4"/>
  <c r="P112" i="4"/>
  <c r="N112" i="4"/>
  <c r="R112" i="4"/>
  <c r="O80" i="4"/>
  <c r="S80" i="4"/>
  <c r="O91" i="4"/>
  <c r="O96" i="4"/>
  <c r="M96" i="4"/>
  <c r="R96" i="4"/>
  <c r="L96" i="4"/>
  <c r="M89" i="4"/>
  <c r="H115" i="14"/>
  <c r="Q112" i="4"/>
  <c r="Q94" i="4"/>
  <c r="L113" i="4"/>
  <c r="S113" i="4"/>
  <c r="S111" i="4"/>
  <c r="L275" i="1" l="1"/>
  <c r="K288" i="1"/>
  <c r="K294" i="1"/>
  <c r="B404" i="1"/>
  <c r="L255" i="1"/>
  <c r="Q288" i="1"/>
  <c r="K255" i="1"/>
  <c r="K192" i="16"/>
  <c r="K187" i="16"/>
  <c r="K189" i="16"/>
  <c r="H204" i="15"/>
  <c r="L187" i="13"/>
  <c r="L121" i="10"/>
  <c r="I112" i="7"/>
  <c r="K186" i="6"/>
  <c r="S73" i="4"/>
  <c r="P55" i="4"/>
  <c r="P113" i="4"/>
  <c r="Q2" i="4"/>
  <c r="S39" i="4"/>
  <c r="M14" i="4"/>
  <c r="M56" i="4"/>
  <c r="M55" i="4"/>
  <c r="N6" i="4"/>
  <c r="Q47" i="4"/>
  <c r="R24" i="4"/>
  <c r="Q113" i="4"/>
  <c r="N55" i="4"/>
  <c r="M8" i="4"/>
  <c r="M63" i="4"/>
  <c r="M15" i="4"/>
  <c r="N54" i="4"/>
  <c r="N15" i="4"/>
  <c r="O100" i="4"/>
  <c r="L16" i="4"/>
  <c r="N16" i="4"/>
  <c r="Q16" i="4"/>
  <c r="M101" i="4"/>
  <c r="P54" i="4"/>
  <c r="M99" i="4"/>
  <c r="O134" i="4"/>
  <c r="M147" i="4"/>
  <c r="N101" i="4"/>
  <c r="O47" i="4"/>
  <c r="L15" i="4"/>
  <c r="Q142" i="4"/>
  <c r="N113" i="4"/>
  <c r="O2" i="4"/>
  <c r="M30" i="4"/>
  <c r="O114" i="4"/>
  <c r="N47" i="4"/>
  <c r="S63" i="4"/>
  <c r="Q117" i="4"/>
  <c r="R2" i="4"/>
  <c r="P134" i="4"/>
  <c r="M138" i="4"/>
  <c r="N147" i="4"/>
  <c r="O16" i="4"/>
  <c r="L91" i="4"/>
  <c r="R47" i="4"/>
  <c r="L108" i="4"/>
  <c r="N134" i="4"/>
  <c r="R138" i="4"/>
  <c r="S56" i="4"/>
  <c r="L56" i="4"/>
  <c r="R30" i="4"/>
  <c r="P56" i="4"/>
  <c r="M113" i="4"/>
  <c r="Q62" i="4"/>
  <c r="S8" i="4"/>
  <c r="N73" i="4"/>
  <c r="R113" i="4"/>
  <c r="S91" i="4"/>
  <c r="S2" i="4"/>
  <c r="M24" i="4"/>
  <c r="N14" i="4"/>
  <c r="S55" i="4"/>
  <c r="L62" i="4"/>
  <c r="O60" i="4"/>
  <c r="N8" i="4"/>
  <c r="M73" i="4"/>
  <c r="L60" i="4"/>
  <c r="M38" i="4"/>
  <c r="P117" i="4"/>
  <c r="S107" i="4"/>
  <c r="O62" i="4"/>
  <c r="S62" i="4"/>
  <c r="M76" i="4"/>
  <c r="M20" i="4"/>
  <c r="L105" i="4"/>
  <c r="R100" i="4"/>
  <c r="Q129" i="4"/>
  <c r="S136" i="4"/>
  <c r="Q134" i="4"/>
  <c r="Q141" i="4"/>
  <c r="L142" i="4"/>
  <c r="O147" i="4"/>
  <c r="L134" i="4"/>
  <c r="M134" i="4"/>
  <c r="R56" i="4"/>
  <c r="O73" i="4"/>
  <c r="R40" i="4"/>
  <c r="B115" i="4"/>
  <c r="R115" i="4" s="1"/>
  <c r="R73" i="4"/>
  <c r="M47" i="4"/>
  <c r="Q91" i="4"/>
  <c r="N30" i="4"/>
  <c r="O69" i="4"/>
  <c r="Q55" i="4"/>
  <c r="R8" i="4"/>
  <c r="Q8" i="4"/>
  <c r="N60" i="4"/>
  <c r="Q107" i="4"/>
  <c r="M54" i="4"/>
  <c r="M62" i="4"/>
  <c r="Q15" i="4"/>
  <c r="P130" i="4"/>
  <c r="P135" i="4"/>
  <c r="R145" i="4"/>
  <c r="N143" i="4"/>
  <c r="S54" i="4"/>
  <c r="L117" i="4"/>
  <c r="P91" i="4"/>
  <c r="P8" i="4"/>
  <c r="P69" i="4"/>
  <c r="O56" i="4"/>
  <c r="Q73" i="4"/>
  <c r="R14" i="4"/>
  <c r="S31" i="4"/>
  <c r="P6" i="4"/>
  <c r="N117" i="4"/>
  <c r="P107" i="4"/>
  <c r="N107" i="4"/>
  <c r="O76" i="4"/>
  <c r="L100" i="4"/>
  <c r="O20" i="4"/>
  <c r="Q54" i="4"/>
  <c r="R62" i="4"/>
  <c r="P16" i="4"/>
  <c r="M16" i="4"/>
  <c r="M91" i="4"/>
  <c r="Q14" i="4"/>
  <c r="Q20" i="4"/>
  <c r="M100" i="4"/>
  <c r="L130" i="4"/>
  <c r="R134" i="4"/>
  <c r="O142" i="4"/>
  <c r="S119" i="4"/>
  <c r="L119" i="4"/>
  <c r="M119" i="4"/>
  <c r="R119" i="4"/>
  <c r="P119" i="4"/>
  <c r="Q119" i="4"/>
  <c r="N119" i="4"/>
  <c r="O119" i="4"/>
  <c r="M3" i="4"/>
  <c r="O50" i="4"/>
  <c r="Q11" i="4"/>
  <c r="P26" i="4"/>
  <c r="O92" i="4"/>
  <c r="M18" i="4"/>
  <c r="M37" i="4"/>
  <c r="N17" i="4"/>
  <c r="M84" i="4"/>
  <c r="S83" i="4"/>
  <c r="Q80" i="4"/>
  <c r="P50" i="4"/>
  <c r="L42" i="4"/>
  <c r="R42" i="4"/>
  <c r="S66" i="4"/>
  <c r="R18" i="4"/>
  <c r="L26" i="4"/>
  <c r="N26" i="4"/>
  <c r="O42" i="4"/>
  <c r="P37" i="4"/>
  <c r="Q84" i="4"/>
  <c r="M77" i="4"/>
  <c r="R80" i="4"/>
  <c r="S92" i="4"/>
  <c r="L146" i="4"/>
  <c r="P66" i="4"/>
  <c r="P18" i="4"/>
  <c r="R26" i="4"/>
  <c r="S81" i="4"/>
  <c r="O26" i="4"/>
  <c r="Q88" i="4"/>
  <c r="N18" i="4"/>
  <c r="O54" i="4"/>
  <c r="R84" i="4"/>
  <c r="P77" i="4"/>
  <c r="N34" i="4"/>
  <c r="Q50" i="4"/>
  <c r="M42" i="4"/>
  <c r="R58" i="4"/>
  <c r="P34" i="4"/>
  <c r="R50" i="4"/>
  <c r="N146" i="4"/>
  <c r="S148" i="4"/>
  <c r="J197" i="4"/>
  <c r="B153" i="4"/>
  <c r="N153" i="4" s="1"/>
  <c r="M34" i="4"/>
  <c r="L92" i="4"/>
  <c r="R92" i="4"/>
  <c r="Q66" i="4"/>
  <c r="O66" i="4"/>
  <c r="L18" i="4"/>
  <c r="Q34" i="4"/>
  <c r="M66" i="4"/>
  <c r="N42" i="4"/>
  <c r="M2" i="4"/>
  <c r="O146" i="4"/>
  <c r="L148" i="4"/>
  <c r="O88" i="4"/>
  <c r="L34" i="4"/>
  <c r="P11" i="4"/>
  <c r="M92" i="4"/>
  <c r="P42" i="4"/>
  <c r="L66" i="4"/>
  <c r="S26" i="4"/>
  <c r="M81" i="4"/>
  <c r="R34" i="4"/>
  <c r="O18" i="4"/>
  <c r="O77" i="4"/>
  <c r="S77" i="4"/>
  <c r="S133" i="4"/>
  <c r="P141" i="4"/>
  <c r="P146" i="4"/>
  <c r="M148" i="4"/>
  <c r="N11" i="4"/>
  <c r="N50" i="4"/>
  <c r="M50" i="4"/>
  <c r="P92" i="4"/>
  <c r="Q42" i="4"/>
  <c r="M26" i="4"/>
  <c r="R54" i="4"/>
  <c r="P2" i="4"/>
  <c r="R77" i="4"/>
  <c r="L80" i="4"/>
  <c r="L128" i="4"/>
  <c r="O144" i="4"/>
  <c r="O141" i="4"/>
  <c r="B204" i="4"/>
  <c r="P272" i="1"/>
  <c r="K295" i="1"/>
  <c r="M272" i="1"/>
  <c r="Q295" i="1"/>
  <c r="N295" i="1"/>
  <c r="M295" i="1"/>
  <c r="L295" i="1"/>
  <c r="Q152" i="4"/>
  <c r="B386" i="1"/>
  <c r="O291" i="1"/>
  <c r="H195" i="15"/>
  <c r="H191" i="15"/>
  <c r="H134" i="15"/>
  <c r="H196" i="15" s="1"/>
  <c r="G196" i="15"/>
  <c r="H185" i="15"/>
  <c r="H186" i="14"/>
  <c r="L194" i="12"/>
  <c r="L189" i="12"/>
  <c r="L192" i="12"/>
  <c r="L191" i="11"/>
  <c r="L185" i="11"/>
  <c r="L187" i="11"/>
  <c r="L189" i="11"/>
  <c r="L193" i="11"/>
  <c r="L186" i="11"/>
  <c r="L188" i="11"/>
  <c r="L190" i="11"/>
  <c r="L192" i="11"/>
  <c r="L195" i="11"/>
  <c r="L191" i="10"/>
  <c r="K194" i="10"/>
  <c r="B194" i="10"/>
  <c r="K192" i="6"/>
  <c r="K187" i="6"/>
  <c r="L190" i="8"/>
  <c r="K204" i="8"/>
  <c r="L188" i="8"/>
  <c r="L194" i="8"/>
  <c r="L185" i="8"/>
  <c r="I192" i="7"/>
  <c r="J196" i="6"/>
  <c r="K188" i="6"/>
  <c r="K185" i="6"/>
  <c r="K189" i="6"/>
  <c r="K191" i="6"/>
  <c r="L147" i="4"/>
  <c r="L139" i="4"/>
  <c r="L145" i="4"/>
  <c r="P57" i="4"/>
  <c r="M141" i="4"/>
  <c r="O38" i="4"/>
  <c r="Q82" i="4"/>
  <c r="K263" i="1"/>
  <c r="K279" i="1"/>
  <c r="O279" i="1"/>
  <c r="N279" i="1"/>
  <c r="Q274" i="1"/>
  <c r="P263" i="1"/>
  <c r="L263" i="1"/>
  <c r="O270" i="1"/>
  <c r="P279" i="1"/>
  <c r="L297" i="1"/>
  <c r="M279" i="1"/>
  <c r="L287" i="1"/>
  <c r="L279" i="1"/>
  <c r="K287" i="1"/>
  <c r="Q303" i="1"/>
  <c r="N244" i="1"/>
  <c r="N282" i="1"/>
  <c r="K244" i="1"/>
  <c r="N249" i="1"/>
  <c r="Q297" i="1"/>
  <c r="P244" i="1"/>
  <c r="O244" i="1"/>
  <c r="Q249" i="1"/>
  <c r="M255" i="1"/>
  <c r="O253" i="1"/>
  <c r="P255" i="1"/>
  <c r="N270" i="1"/>
  <c r="K247" i="1"/>
  <c r="N255" i="1"/>
  <c r="N256" i="1"/>
  <c r="L247" i="1"/>
  <c r="K270" i="1"/>
  <c r="P270" i="1"/>
  <c r="Q270" i="1"/>
  <c r="Q255" i="1"/>
  <c r="L270" i="1"/>
  <c r="M247" i="1"/>
  <c r="L282" i="1"/>
  <c r="K273" i="1"/>
  <c r="M273" i="1"/>
  <c r="P282" i="1"/>
  <c r="O282" i="1"/>
  <c r="M285" i="1"/>
  <c r="P290" i="1"/>
  <c r="K275" i="1"/>
  <c r="Q282" i="1"/>
  <c r="M275" i="1"/>
  <c r="P275" i="1"/>
  <c r="K285" i="1"/>
  <c r="L285" i="1"/>
  <c r="M282" i="1"/>
  <c r="O295" i="1"/>
  <c r="O275" i="1"/>
  <c r="P285" i="1"/>
  <c r="O285" i="1"/>
  <c r="Q285" i="1"/>
  <c r="L266" i="1"/>
  <c r="L274" i="1"/>
  <c r="P261" i="1"/>
  <c r="L259" i="1"/>
  <c r="N291" i="1"/>
  <c r="Q291" i="1"/>
  <c r="N259" i="1"/>
  <c r="K291" i="1"/>
  <c r="O250" i="1"/>
  <c r="L284" i="1"/>
  <c r="K298" i="1"/>
  <c r="L271" i="1"/>
  <c r="K250" i="1"/>
  <c r="L250" i="1"/>
  <c r="N250" i="1"/>
  <c r="M257" i="1"/>
  <c r="L283" i="1"/>
  <c r="M291" i="1"/>
  <c r="Q250" i="1"/>
  <c r="P291" i="1"/>
  <c r="L291" i="1"/>
  <c r="M250" i="1"/>
  <c r="O264" i="1"/>
  <c r="M277" i="1"/>
  <c r="Q254" i="1"/>
  <c r="K284" i="1"/>
  <c r="Q292" i="1"/>
  <c r="O268" i="1"/>
  <c r="N264" i="1"/>
  <c r="L254" i="1"/>
  <c r="O277" i="1"/>
  <c r="P247" i="1"/>
  <c r="P284" i="1"/>
  <c r="M290" i="1"/>
  <c r="N266" i="1"/>
  <c r="P273" i="1"/>
  <c r="Q277" i="1"/>
  <c r="N286" i="1"/>
  <c r="N292" i="1"/>
  <c r="K290" i="1"/>
  <c r="K264" i="1"/>
  <c r="N273" i="1"/>
  <c r="Q247" i="1"/>
  <c r="O247" i="1"/>
  <c r="Q284" i="1"/>
  <c r="P286" i="1"/>
  <c r="Q290" i="1"/>
  <c r="M252" i="1"/>
  <c r="P264" i="1"/>
  <c r="Q273" i="1"/>
  <c r="K266" i="1"/>
  <c r="L277" i="1"/>
  <c r="N254" i="1"/>
  <c r="N284" i="1"/>
  <c r="O284" i="1"/>
  <c r="L290" i="1"/>
  <c r="O290" i="1"/>
  <c r="N290" i="1"/>
  <c r="M266" i="1"/>
  <c r="P252" i="1"/>
  <c r="L273" i="1"/>
  <c r="M286" i="1"/>
  <c r="P267" i="1"/>
  <c r="O257" i="1"/>
  <c r="P288" i="1"/>
  <c r="P266" i="1"/>
  <c r="Q266" i="1"/>
  <c r="L272" i="1"/>
  <c r="K257" i="1"/>
  <c r="P257" i="1"/>
  <c r="Q257" i="1"/>
  <c r="L257" i="1"/>
  <c r="K289" i="1"/>
  <c r="N288" i="1"/>
  <c r="L288" i="1"/>
  <c r="N299" i="1"/>
  <c r="Q299" i="1"/>
  <c r="O288" i="1"/>
  <c r="L299" i="1"/>
  <c r="Q272" i="1"/>
  <c r="P256" i="1"/>
  <c r="K286" i="1"/>
  <c r="P297" i="1"/>
  <c r="P299" i="1"/>
  <c r="K299" i="1"/>
  <c r="N296" i="1"/>
  <c r="L251" i="1"/>
  <c r="K272" i="1"/>
  <c r="K262" i="1"/>
  <c r="O245" i="1"/>
  <c r="N281" i="1"/>
  <c r="M299" i="1"/>
  <c r="M297" i="1"/>
  <c r="N272" i="1"/>
  <c r="L267" i="1"/>
  <c r="N260" i="1"/>
  <c r="L286" i="1"/>
  <c r="O286" i="1"/>
  <c r="K297" i="1"/>
  <c r="O297" i="1"/>
  <c r="Q248" i="1"/>
  <c r="O252" i="1"/>
  <c r="O259" i="1"/>
  <c r="M278" i="1"/>
  <c r="P283" i="1"/>
  <c r="P278" i="1"/>
  <c r="O292" i="1"/>
  <c r="K292" i="1"/>
  <c r="L248" i="1"/>
  <c r="O265" i="1"/>
  <c r="Q252" i="1"/>
  <c r="M259" i="1"/>
  <c r="O256" i="1"/>
  <c r="N252" i="1"/>
  <c r="K259" i="1"/>
  <c r="L256" i="1"/>
  <c r="M292" i="1"/>
  <c r="N301" i="1"/>
  <c r="N278" i="1"/>
  <c r="K252" i="1"/>
  <c r="M287" i="1"/>
  <c r="P292" i="1"/>
  <c r="Q256" i="1"/>
  <c r="M256" i="1"/>
  <c r="P259" i="1"/>
  <c r="P248" i="1"/>
  <c r="K278" i="1"/>
  <c r="Q313" i="1"/>
  <c r="S157" i="4"/>
  <c r="L157" i="4"/>
  <c r="N157" i="4"/>
  <c r="K204" i="16"/>
  <c r="L204" i="10"/>
  <c r="L204" i="8"/>
  <c r="Q310" i="1"/>
  <c r="Q308" i="1"/>
  <c r="L204" i="13"/>
  <c r="L209" i="13"/>
  <c r="Q307" i="1"/>
  <c r="Q151" i="4"/>
  <c r="L151" i="4"/>
  <c r="H204" i="14"/>
  <c r="L197" i="8"/>
  <c r="Q306" i="1"/>
  <c r="L197" i="13"/>
  <c r="L197" i="11"/>
  <c r="I197" i="7"/>
  <c r="S149" i="4"/>
  <c r="L149" i="4"/>
  <c r="K197" i="16"/>
  <c r="B209" i="6"/>
  <c r="K197" i="6"/>
  <c r="J204" i="16"/>
  <c r="J194" i="16"/>
  <c r="K185" i="16"/>
  <c r="K186" i="16"/>
  <c r="K188" i="16"/>
  <c r="K190" i="16"/>
  <c r="K195" i="16"/>
  <c r="I204" i="16"/>
  <c r="K191" i="16"/>
  <c r="K193" i="16"/>
  <c r="K194" i="16"/>
  <c r="K196" i="16"/>
  <c r="K209" i="16"/>
  <c r="I209" i="16"/>
  <c r="H197" i="15"/>
  <c r="G204" i="15"/>
  <c r="H187" i="15"/>
  <c r="H189" i="15"/>
  <c r="H186" i="15"/>
  <c r="H188" i="15"/>
  <c r="H190" i="15"/>
  <c r="H192" i="15"/>
  <c r="H193" i="15"/>
  <c r="H194" i="15"/>
  <c r="G194" i="15"/>
  <c r="D204" i="15"/>
  <c r="H209" i="15"/>
  <c r="H197" i="14"/>
  <c r="H195" i="14"/>
  <c r="H196" i="14"/>
  <c r="H194" i="14"/>
  <c r="H193" i="14"/>
  <c r="H185" i="14"/>
  <c r="H187" i="14"/>
  <c r="H188" i="14"/>
  <c r="H189" i="14"/>
  <c r="H190" i="14"/>
  <c r="H191" i="14"/>
  <c r="H192" i="14"/>
  <c r="H209" i="14"/>
  <c r="G194" i="14"/>
  <c r="J204" i="13"/>
  <c r="L196" i="13"/>
  <c r="L191" i="13"/>
  <c r="L194" i="13"/>
  <c r="L193" i="13"/>
  <c r="L185" i="13"/>
  <c r="L186" i="13"/>
  <c r="L188" i="13"/>
  <c r="L189" i="13"/>
  <c r="L190" i="13"/>
  <c r="L192" i="13"/>
  <c r="L195" i="13"/>
  <c r="F209" i="13"/>
  <c r="H209" i="13"/>
  <c r="J209" i="13"/>
  <c r="L197" i="12"/>
  <c r="J204" i="12"/>
  <c r="F209" i="12"/>
  <c r="L209" i="12"/>
  <c r="L185" i="12"/>
  <c r="L186" i="12"/>
  <c r="L187" i="12"/>
  <c r="L188" i="12"/>
  <c r="L190" i="12"/>
  <c r="L193" i="12"/>
  <c r="H209" i="12"/>
  <c r="L191" i="12"/>
  <c r="D209" i="12"/>
  <c r="E209" i="12"/>
  <c r="L196" i="12"/>
  <c r="L195" i="12"/>
  <c r="J209" i="12"/>
  <c r="I204" i="12"/>
  <c r="L194" i="11"/>
  <c r="E209" i="11"/>
  <c r="K194" i="11"/>
  <c r="L196" i="11"/>
  <c r="H204" i="11"/>
  <c r="J204" i="11"/>
  <c r="L209" i="11"/>
  <c r="L197" i="10"/>
  <c r="L192" i="10"/>
  <c r="L186" i="10"/>
  <c r="L188" i="10"/>
  <c r="L190" i="10"/>
  <c r="J204" i="10"/>
  <c r="L193" i="10"/>
  <c r="L195" i="10"/>
  <c r="L185" i="10"/>
  <c r="L187" i="10"/>
  <c r="L189" i="10"/>
  <c r="L196" i="10"/>
  <c r="L209" i="10"/>
  <c r="L115" i="10"/>
  <c r="L194" i="10" s="1"/>
  <c r="I209" i="10"/>
  <c r="H204" i="10"/>
  <c r="J204" i="8"/>
  <c r="L196" i="8"/>
  <c r="L195" i="8"/>
  <c r="I204" i="8"/>
  <c r="L189" i="8"/>
  <c r="L187" i="8"/>
  <c r="L186" i="8"/>
  <c r="L191" i="8"/>
  <c r="L193" i="8"/>
  <c r="L192" i="8"/>
  <c r="G204" i="8"/>
  <c r="K196" i="8"/>
  <c r="J209" i="8"/>
  <c r="L209" i="8"/>
  <c r="I194" i="7"/>
  <c r="D204" i="7"/>
  <c r="I196" i="7"/>
  <c r="I195" i="7"/>
  <c r="I185" i="7"/>
  <c r="I186" i="7"/>
  <c r="I187" i="7"/>
  <c r="I188" i="7"/>
  <c r="I189" i="7"/>
  <c r="I190" i="7"/>
  <c r="I191" i="7"/>
  <c r="I193" i="7"/>
  <c r="I209" i="7"/>
  <c r="L378" i="1"/>
  <c r="C209" i="6"/>
  <c r="K193" i="6"/>
  <c r="K209" i="6"/>
  <c r="K196" i="6"/>
  <c r="E209" i="6"/>
  <c r="K195" i="6"/>
  <c r="K190" i="6"/>
  <c r="K194" i="6"/>
  <c r="J194" i="6"/>
  <c r="J204" i="6"/>
  <c r="N154" i="4"/>
  <c r="O154" i="4"/>
  <c r="S154" i="4"/>
  <c r="M154" i="4"/>
  <c r="S147" i="4"/>
  <c r="Q154" i="4"/>
  <c r="P152" i="4"/>
  <c r="L121" i="4"/>
  <c r="M121" i="4"/>
  <c r="N121" i="4"/>
  <c r="R121" i="4"/>
  <c r="S121" i="4"/>
  <c r="P121" i="4"/>
  <c r="O121" i="4"/>
  <c r="Q121" i="4"/>
  <c r="Q58" i="4"/>
  <c r="N81" i="4"/>
  <c r="R129" i="4"/>
  <c r="L129" i="4"/>
  <c r="S129" i="4"/>
  <c r="N111" i="4"/>
  <c r="M88" i="4"/>
  <c r="R102" i="4"/>
  <c r="M25" i="4"/>
  <c r="M11" i="4"/>
  <c r="O24" i="4"/>
  <c r="S32" i="4"/>
  <c r="P74" i="4"/>
  <c r="S65" i="4"/>
  <c r="Q38" i="4"/>
  <c r="B188" i="4"/>
  <c r="M188" i="4" s="1"/>
  <c r="P82" i="4"/>
  <c r="M90" i="4"/>
  <c r="R11" i="4"/>
  <c r="O12" i="4"/>
  <c r="S12" i="4"/>
  <c r="O81" i="4"/>
  <c r="N24" i="4"/>
  <c r="L4" i="4"/>
  <c r="N129" i="4"/>
  <c r="Q128" i="4"/>
  <c r="P128" i="4"/>
  <c r="R126" i="4"/>
  <c r="Q144" i="4"/>
  <c r="R139" i="4"/>
  <c r="Q139" i="4"/>
  <c r="N138" i="4"/>
  <c r="L144" i="4"/>
  <c r="P88" i="4"/>
  <c r="S88" i="4"/>
  <c r="L102" i="4"/>
  <c r="S11" i="4"/>
  <c r="L25" i="4"/>
  <c r="N32" i="4"/>
  <c r="O79" i="4"/>
  <c r="Q65" i="4"/>
  <c r="L38" i="4"/>
  <c r="P17" i="4"/>
  <c r="O108" i="4"/>
  <c r="M108" i="4"/>
  <c r="S108" i="4"/>
  <c r="L76" i="4"/>
  <c r="M4" i="4"/>
  <c r="M70" i="4"/>
  <c r="M79" i="4"/>
  <c r="S85" i="4"/>
  <c r="R128" i="4"/>
  <c r="M128" i="4"/>
  <c r="P126" i="4"/>
  <c r="N144" i="4"/>
  <c r="S138" i="4"/>
  <c r="Q138" i="4"/>
  <c r="S142" i="4"/>
  <c r="L88" i="4"/>
  <c r="P12" i="4"/>
  <c r="S102" i="4"/>
  <c r="Q25" i="4"/>
  <c r="N5" i="4"/>
  <c r="O25" i="4"/>
  <c r="R32" i="4"/>
  <c r="Q32" i="4"/>
  <c r="M58" i="4"/>
  <c r="Q81" i="4"/>
  <c r="N79" i="4"/>
  <c r="P31" i="4"/>
  <c r="N31" i="4"/>
  <c r="O31" i="4"/>
  <c r="R82" i="4"/>
  <c r="M5" i="4"/>
  <c r="O90" i="4"/>
  <c r="Q76" i="4"/>
  <c r="Q101" i="4"/>
  <c r="S82" i="4"/>
  <c r="N128" i="4"/>
  <c r="Q126" i="4"/>
  <c r="L126" i="4"/>
  <c r="P142" i="4"/>
  <c r="N139" i="4"/>
  <c r="L138" i="4"/>
  <c r="S144" i="4"/>
  <c r="O102" i="4"/>
  <c r="S25" i="4"/>
  <c r="N65" i="4"/>
  <c r="Q109" i="4"/>
  <c r="M129" i="4"/>
  <c r="N126" i="4"/>
  <c r="P139" i="4"/>
  <c r="L111" i="4"/>
  <c r="P111" i="4"/>
  <c r="R88" i="4"/>
  <c r="L12" i="4"/>
  <c r="P102" i="4"/>
  <c r="O5" i="4"/>
  <c r="S24" i="4"/>
  <c r="M32" i="4"/>
  <c r="L58" i="4"/>
  <c r="N82" i="4"/>
  <c r="P101" i="4"/>
  <c r="L79" i="4"/>
  <c r="R31" i="4"/>
  <c r="L5" i="4"/>
  <c r="N90" i="4"/>
  <c r="R108" i="4"/>
  <c r="S38" i="4"/>
  <c r="L65" i="4"/>
  <c r="L11" i="4"/>
  <c r="R12" i="4"/>
  <c r="O4" i="4"/>
  <c r="O101" i="4"/>
  <c r="N12" i="4"/>
  <c r="O82" i="4"/>
  <c r="M126" i="4"/>
  <c r="O127" i="4"/>
  <c r="L137" i="4"/>
  <c r="P144" i="4"/>
  <c r="M142" i="4"/>
  <c r="N142" i="4"/>
  <c r="R5" i="4"/>
  <c r="R111" i="4"/>
  <c r="M102" i="4"/>
  <c r="P58" i="4"/>
  <c r="Q24" i="4"/>
  <c r="P32" i="4"/>
  <c r="S58" i="4"/>
  <c r="S101" i="4"/>
  <c r="R101" i="4"/>
  <c r="P79" i="4"/>
  <c r="Q79" i="4"/>
  <c r="R38" i="4"/>
  <c r="Q31" i="4"/>
  <c r="R76" i="4"/>
  <c r="N108" i="4"/>
  <c r="Q4" i="4"/>
  <c r="S4" i="4"/>
  <c r="L82" i="4"/>
  <c r="O65" i="4"/>
  <c r="L81" i="4"/>
  <c r="O128" i="4"/>
  <c r="M137" i="4"/>
  <c r="O138" i="4"/>
  <c r="O139" i="4"/>
  <c r="S76" i="4"/>
  <c r="L32" i="4"/>
  <c r="S139" i="4"/>
  <c r="Q90" i="4"/>
  <c r="N76" i="4"/>
  <c r="S5" i="4"/>
  <c r="L24" i="4"/>
  <c r="P25" i="4"/>
  <c r="L31" i="4"/>
  <c r="R25" i="4"/>
  <c r="Q12" i="4"/>
  <c r="P90" i="4"/>
  <c r="R4" i="4"/>
  <c r="R65" i="4"/>
  <c r="L90" i="4"/>
  <c r="R81" i="4"/>
  <c r="S118" i="4"/>
  <c r="Q118" i="4"/>
  <c r="L118" i="4"/>
  <c r="R118" i="4"/>
  <c r="M118" i="4"/>
  <c r="P118" i="4"/>
  <c r="N118" i="4"/>
  <c r="O118" i="4"/>
  <c r="Q72" i="4"/>
  <c r="S72" i="4"/>
  <c r="L72" i="4"/>
  <c r="N72" i="4"/>
  <c r="P72" i="4"/>
  <c r="M72" i="4"/>
  <c r="R72" i="4"/>
  <c r="M122" i="4"/>
  <c r="N122" i="4"/>
  <c r="O122" i="4"/>
  <c r="Q122" i="4"/>
  <c r="R122" i="4"/>
  <c r="L122" i="4"/>
  <c r="S122" i="4"/>
  <c r="P122" i="4"/>
  <c r="P115" i="4"/>
  <c r="N95" i="4"/>
  <c r="N46" i="4"/>
  <c r="N115" i="4"/>
  <c r="S13" i="4"/>
  <c r="M45" i="4"/>
  <c r="S6" i="4"/>
  <c r="S45" i="4"/>
  <c r="Q6" i="4"/>
  <c r="Q39" i="4"/>
  <c r="P23" i="4"/>
  <c r="R33" i="4"/>
  <c r="P70" i="4"/>
  <c r="R114" i="4"/>
  <c r="S64" i="4"/>
  <c r="R45" i="4"/>
  <c r="L64" i="4"/>
  <c r="P94" i="4"/>
  <c r="R94" i="4"/>
  <c r="L22" i="4"/>
  <c r="N71" i="4"/>
  <c r="Q46" i="4"/>
  <c r="R51" i="4"/>
  <c r="P63" i="4"/>
  <c r="S46" i="4"/>
  <c r="Q28" i="4"/>
  <c r="M23" i="4"/>
  <c r="Q13" i="4"/>
  <c r="L71" i="4"/>
  <c r="F190" i="4"/>
  <c r="S78" i="4"/>
  <c r="P109" i="4"/>
  <c r="B116" i="4"/>
  <c r="R133" i="4"/>
  <c r="Q133" i="4"/>
  <c r="S132" i="4"/>
  <c r="S135" i="4"/>
  <c r="S137" i="4"/>
  <c r="L135" i="4"/>
  <c r="M143" i="4"/>
  <c r="S143" i="4"/>
  <c r="M95" i="4"/>
  <c r="R132" i="4"/>
  <c r="Q132" i="4"/>
  <c r="L143" i="4"/>
  <c r="L95" i="4"/>
  <c r="M109" i="4"/>
  <c r="Q115" i="4"/>
  <c r="O68" i="4"/>
  <c r="B186" i="4"/>
  <c r="S186" i="4" s="1"/>
  <c r="R68" i="4"/>
  <c r="Q95" i="4"/>
  <c r="O63" i="4"/>
  <c r="R28" i="4"/>
  <c r="M114" i="4"/>
  <c r="Q63" i="4"/>
  <c r="L68" i="4"/>
  <c r="O85" i="4"/>
  <c r="S57" i="4"/>
  <c r="N64" i="4"/>
  <c r="M64" i="4"/>
  <c r="Q17" i="4"/>
  <c r="N22" i="4"/>
  <c r="R87" i="4"/>
  <c r="P46" i="4"/>
  <c r="O46" i="4"/>
  <c r="R109" i="4"/>
  <c r="R85" i="4"/>
  <c r="O72" i="4"/>
  <c r="N63" i="4"/>
  <c r="N78" i="4"/>
  <c r="O109" i="4"/>
  <c r="O132" i="4"/>
  <c r="N132" i="4"/>
  <c r="M132" i="4"/>
  <c r="Q135" i="4"/>
  <c r="N137" i="4"/>
  <c r="Q145" i="4"/>
  <c r="Q143" i="4"/>
  <c r="M145" i="4"/>
  <c r="M115" i="4"/>
  <c r="L39" i="4"/>
  <c r="Q68" i="4"/>
  <c r="O95" i="4"/>
  <c r="R70" i="4"/>
  <c r="Q114" i="4"/>
  <c r="Q70" i="4"/>
  <c r="N85" i="4"/>
  <c r="S33" i="4"/>
  <c r="O17" i="4"/>
  <c r="P51" i="4"/>
  <c r="R6" i="4"/>
  <c r="O23" i="4"/>
  <c r="R13" i="4"/>
  <c r="M46" i="4"/>
  <c r="S22" i="4"/>
  <c r="Q57" i="4"/>
  <c r="N51" i="4"/>
  <c r="N33" i="4"/>
  <c r="M65" i="4"/>
  <c r="R78" i="4"/>
  <c r="J194" i="4"/>
  <c r="P133" i="4"/>
  <c r="R135" i="4"/>
  <c r="Q137" i="4"/>
  <c r="M28" i="4"/>
  <c r="L115" i="4"/>
  <c r="O78" i="4"/>
  <c r="P39" i="4"/>
  <c r="S23" i="4"/>
  <c r="M68" i="4"/>
  <c r="Q45" i="4"/>
  <c r="L6" i="4"/>
  <c r="N109" i="4"/>
  <c r="L51" i="4"/>
  <c r="O45" i="4"/>
  <c r="L114" i="4"/>
  <c r="N28" i="4"/>
  <c r="N70" i="4"/>
  <c r="P33" i="4"/>
  <c r="Q85" i="4"/>
  <c r="M39" i="4"/>
  <c r="M33" i="4"/>
  <c r="L28" i="4"/>
  <c r="N94" i="4"/>
  <c r="L17" i="4"/>
  <c r="O71" i="4"/>
  <c r="M22" i="4"/>
  <c r="S87" i="4"/>
  <c r="O13" i="4"/>
  <c r="Q108" i="4"/>
  <c r="M135" i="4"/>
  <c r="N136" i="4"/>
  <c r="P145" i="4"/>
  <c r="N145" i="4"/>
  <c r="O143" i="4"/>
  <c r="L109" i="4"/>
  <c r="S114" i="4"/>
  <c r="N23" i="4"/>
  <c r="P78" i="4"/>
  <c r="M17" i="4"/>
  <c r="L13" i="4"/>
  <c r="L23" i="4"/>
  <c r="L45" i="4"/>
  <c r="B190" i="4"/>
  <c r="N190" i="4" s="1"/>
  <c r="L57" i="4"/>
  <c r="L63" i="4"/>
  <c r="L33" i="4"/>
  <c r="P114" i="4"/>
  <c r="P28" i="4"/>
  <c r="M6" i="4"/>
  <c r="P85" i="4"/>
  <c r="R39" i="4"/>
  <c r="P64" i="4"/>
  <c r="S17" i="4"/>
  <c r="Q22" i="4"/>
  <c r="M51" i="4"/>
  <c r="S71" i="4"/>
  <c r="P132" i="4"/>
  <c r="Q131" i="4"/>
  <c r="J195" i="4"/>
  <c r="N135" i="4"/>
  <c r="P136" i="4"/>
  <c r="M71" i="4"/>
  <c r="O115" i="4"/>
  <c r="L78" i="4"/>
  <c r="M78" i="4"/>
  <c r="M13" i="4"/>
  <c r="N39" i="4"/>
  <c r="N68" i="4"/>
  <c r="O64" i="4"/>
  <c r="N45" i="4"/>
  <c r="R64" i="4"/>
  <c r="P95" i="4"/>
  <c r="S94" i="4"/>
  <c r="P22" i="4"/>
  <c r="M94" i="4"/>
  <c r="R22" i="4"/>
  <c r="Q71" i="4"/>
  <c r="M136" i="4"/>
  <c r="R143" i="4"/>
  <c r="L123" i="4"/>
  <c r="O123" i="4"/>
  <c r="P123" i="4"/>
  <c r="M123" i="4"/>
  <c r="Q123" i="4"/>
  <c r="N123" i="4"/>
  <c r="S123" i="4"/>
  <c r="R123" i="4"/>
  <c r="O124" i="4"/>
  <c r="L124" i="4"/>
  <c r="M124" i="4"/>
  <c r="P124" i="4"/>
  <c r="Q124" i="4"/>
  <c r="S124" i="4"/>
  <c r="N124" i="4"/>
  <c r="R124" i="4"/>
  <c r="L3" i="4"/>
  <c r="N36" i="4"/>
  <c r="Q7" i="4"/>
  <c r="S74" i="4"/>
  <c r="S89" i="4"/>
  <c r="P48" i="4"/>
  <c r="L52" i="4"/>
  <c r="R52" i="4"/>
  <c r="L44" i="4"/>
  <c r="S127" i="4"/>
  <c r="B125" i="4"/>
  <c r="S125" i="4" s="1"/>
  <c r="R137" i="4"/>
  <c r="S140" i="4"/>
  <c r="B209" i="4"/>
  <c r="N148" i="4"/>
  <c r="M149" i="4"/>
  <c r="L150" i="4"/>
  <c r="S151" i="4"/>
  <c r="R152" i="4"/>
  <c r="P154" i="4"/>
  <c r="O155" i="4"/>
  <c r="N156" i="4"/>
  <c r="M157" i="4"/>
  <c r="J204" i="4"/>
  <c r="N48" i="4"/>
  <c r="B187" i="4"/>
  <c r="Q187" i="4" s="1"/>
  <c r="B189" i="4"/>
  <c r="L189" i="4" s="1"/>
  <c r="R74" i="4"/>
  <c r="Q89" i="4"/>
  <c r="L40" i="4"/>
  <c r="M120" i="4"/>
  <c r="S120" i="4"/>
  <c r="S99" i="4"/>
  <c r="N52" i="4"/>
  <c r="O97" i="4"/>
  <c r="Q97" i="4"/>
  <c r="N127" i="4"/>
  <c r="P127" i="4"/>
  <c r="B196" i="4"/>
  <c r="Q196" i="4" s="1"/>
  <c r="R140" i="4"/>
  <c r="M150" i="4"/>
  <c r="S152" i="4"/>
  <c r="B192" i="4"/>
  <c r="L192" i="4" s="1"/>
  <c r="B193" i="4"/>
  <c r="R193" i="4" s="1"/>
  <c r="P93" i="4"/>
  <c r="Q48" i="4"/>
  <c r="N7" i="4"/>
  <c r="P89" i="4"/>
  <c r="O40" i="4"/>
  <c r="N40" i="4"/>
  <c r="L120" i="4"/>
  <c r="R120" i="4"/>
  <c r="O52" i="4"/>
  <c r="N97" i="4"/>
  <c r="R44" i="4"/>
  <c r="Q44" i="4"/>
  <c r="Q127" i="4"/>
  <c r="R131" i="4"/>
  <c r="O136" i="4"/>
  <c r="R146" i="4"/>
  <c r="Q147" i="4"/>
  <c r="P148" i="4"/>
  <c r="O149" i="4"/>
  <c r="N150" i="4"/>
  <c r="M151" i="4"/>
  <c r="L152" i="4"/>
  <c r="R154" i="4"/>
  <c r="Q155" i="4"/>
  <c r="P156" i="4"/>
  <c r="O157" i="4"/>
  <c r="S150" i="4"/>
  <c r="B191" i="4"/>
  <c r="S191" i="4" s="1"/>
  <c r="N93" i="4"/>
  <c r="L48" i="4"/>
  <c r="P7" i="4"/>
  <c r="Q3" i="4"/>
  <c r="Q93" i="4"/>
  <c r="R93" i="4"/>
  <c r="O120" i="4"/>
  <c r="R99" i="4"/>
  <c r="S48" i="4"/>
  <c r="O7" i="4"/>
  <c r="M52" i="4"/>
  <c r="L97" i="4"/>
  <c r="L131" i="4"/>
  <c r="S146" i="4"/>
  <c r="R147" i="4"/>
  <c r="Q148" i="4"/>
  <c r="P149" i="4"/>
  <c r="O150" i="4"/>
  <c r="N151" i="4"/>
  <c r="M152" i="4"/>
  <c r="R155" i="4"/>
  <c r="Q156" i="4"/>
  <c r="P157" i="4"/>
  <c r="O93" i="4"/>
  <c r="S97" i="4"/>
  <c r="O89" i="4"/>
  <c r="O48" i="4"/>
  <c r="S7" i="4"/>
  <c r="R3" i="4"/>
  <c r="S36" i="4"/>
  <c r="S93" i="4"/>
  <c r="M40" i="4"/>
  <c r="N120" i="4"/>
  <c r="Q74" i="4"/>
  <c r="N44" i="4"/>
  <c r="M127" i="4"/>
  <c r="P131" i="4"/>
  <c r="Q136" i="4"/>
  <c r="M140" i="4"/>
  <c r="R148" i="4"/>
  <c r="Q149" i="4"/>
  <c r="P150" i="4"/>
  <c r="O151" i="4"/>
  <c r="N152" i="4"/>
  <c r="R156" i="4"/>
  <c r="Q157" i="4"/>
  <c r="N140" i="4"/>
  <c r="M93" i="4"/>
  <c r="R89" i="4"/>
  <c r="R48" i="4"/>
  <c r="P3" i="4"/>
  <c r="M7" i="4"/>
  <c r="N3" i="4"/>
  <c r="L7" i="4"/>
  <c r="L36" i="4"/>
  <c r="M74" i="4"/>
  <c r="P40" i="4"/>
  <c r="Q120" i="4"/>
  <c r="L99" i="4"/>
  <c r="O99" i="4"/>
  <c r="P44" i="4"/>
  <c r="N99" i="4"/>
  <c r="O44" i="4"/>
  <c r="M131" i="4"/>
  <c r="R127" i="4"/>
  <c r="O131" i="4"/>
  <c r="O137" i="4"/>
  <c r="R136" i="4"/>
  <c r="L140" i="4"/>
  <c r="P140" i="4"/>
  <c r="R149" i="4"/>
  <c r="Q150" i="4"/>
  <c r="P151" i="4"/>
  <c r="O152" i="4"/>
  <c r="R157" i="4"/>
  <c r="B194" i="4"/>
  <c r="L194" i="4" s="1"/>
  <c r="L89" i="4"/>
  <c r="B185" i="4"/>
  <c r="M36" i="4"/>
  <c r="S3" i="4"/>
  <c r="N74" i="4"/>
  <c r="S40" i="4"/>
  <c r="O74" i="4"/>
  <c r="S52" i="4"/>
  <c r="Q52" i="4"/>
  <c r="P97" i="4"/>
  <c r="N131" i="4"/>
  <c r="Q140" i="4"/>
  <c r="Q302" i="1"/>
  <c r="N265" i="1"/>
  <c r="M268" i="1"/>
  <c r="L261" i="1"/>
  <c r="K267" i="1"/>
  <c r="L260" i="1"/>
  <c r="K260" i="1"/>
  <c r="P245" i="1"/>
  <c r="O281" i="1"/>
  <c r="L281" i="1"/>
  <c r="O283" i="1"/>
  <c r="L265" i="1"/>
  <c r="Q268" i="1"/>
  <c r="O248" i="1"/>
  <c r="Q265" i="1"/>
  <c r="M260" i="1"/>
  <c r="P271" i="1"/>
  <c r="N261" i="1"/>
  <c r="O260" i="1"/>
  <c r="Q261" i="1"/>
  <c r="M245" i="1"/>
  <c r="K281" i="1"/>
  <c r="N283" i="1"/>
  <c r="M281" i="1"/>
  <c r="O278" i="1"/>
  <c r="Q281" i="1"/>
  <c r="P287" i="1"/>
  <c r="M300" i="1"/>
  <c r="P268" i="1"/>
  <c r="K248" i="1"/>
  <c r="M265" i="1"/>
  <c r="O271" i="1"/>
  <c r="M248" i="1"/>
  <c r="N267" i="1"/>
  <c r="O287" i="1"/>
  <c r="M283" i="1"/>
  <c r="Q278" i="1"/>
  <c r="K271" i="1"/>
  <c r="O267" i="1"/>
  <c r="N268" i="1"/>
  <c r="P265" i="1"/>
  <c r="N287" i="1"/>
  <c r="Q283" i="1"/>
  <c r="K261" i="1"/>
  <c r="M267" i="1"/>
  <c r="N271" i="1"/>
  <c r="K245" i="1"/>
  <c r="K268" i="1"/>
  <c r="M280" i="1"/>
  <c r="O261" i="1"/>
  <c r="M271" i="1"/>
  <c r="Q260" i="1"/>
  <c r="L245" i="1"/>
  <c r="O276" i="1"/>
  <c r="M246" i="1"/>
  <c r="K269" i="1"/>
  <c r="B384" i="1"/>
  <c r="K384" i="1" s="1"/>
  <c r="L249" i="1"/>
  <c r="P249" i="1"/>
  <c r="L246" i="1"/>
  <c r="K249" i="1"/>
  <c r="K296" i="1"/>
  <c r="K274" i="1"/>
  <c r="Q280" i="1"/>
  <c r="M296" i="1"/>
  <c r="L298" i="1"/>
  <c r="N274" i="1"/>
  <c r="N258" i="1"/>
  <c r="O246" i="1"/>
  <c r="K280" i="1"/>
  <c r="O280" i="1"/>
  <c r="O300" i="1"/>
  <c r="L300" i="1"/>
  <c r="Q296" i="1"/>
  <c r="K300" i="1"/>
  <c r="M298" i="1"/>
  <c r="K276" i="1"/>
  <c r="O249" i="1"/>
  <c r="N276" i="1"/>
  <c r="K246" i="1"/>
  <c r="M269" i="1"/>
  <c r="L269" i="1"/>
  <c r="L280" i="1"/>
  <c r="P296" i="1"/>
  <c r="N298" i="1"/>
  <c r="L276" i="1"/>
  <c r="M274" i="1"/>
  <c r="P274" i="1"/>
  <c r="P246" i="1"/>
  <c r="M276" i="1"/>
  <c r="Q246" i="1"/>
  <c r="N269" i="1"/>
  <c r="P269" i="1"/>
  <c r="N300" i="1"/>
  <c r="O296" i="1"/>
  <c r="O298" i="1"/>
  <c r="Q300" i="1"/>
  <c r="P276" i="1"/>
  <c r="O258" i="1"/>
  <c r="O269" i="1"/>
  <c r="N280" i="1"/>
  <c r="P298" i="1"/>
  <c r="O293" i="1"/>
  <c r="K302" i="1"/>
  <c r="K303" i="1"/>
  <c r="K304" i="1"/>
  <c r="K305" i="1"/>
  <c r="K306" i="1"/>
  <c r="K307" i="1"/>
  <c r="K308" i="1"/>
  <c r="K310" i="1"/>
  <c r="K311" i="1"/>
  <c r="K312" i="1"/>
  <c r="K313" i="1"/>
  <c r="M251" i="1"/>
  <c r="Q251" i="1"/>
  <c r="Q262" i="1"/>
  <c r="Q258" i="1"/>
  <c r="M293" i="1"/>
  <c r="L302" i="1"/>
  <c r="L303" i="1"/>
  <c r="L304" i="1"/>
  <c r="L305" i="1"/>
  <c r="L306" i="1"/>
  <c r="L307" i="1"/>
  <c r="L308" i="1"/>
  <c r="L310" i="1"/>
  <c r="L311" i="1"/>
  <c r="L312" i="1"/>
  <c r="L313" i="1"/>
  <c r="P262" i="1"/>
  <c r="O251" i="1"/>
  <c r="L262" i="1"/>
  <c r="L258" i="1"/>
  <c r="P289" i="1"/>
  <c r="L289" i="1"/>
  <c r="B385" i="1"/>
  <c r="Q289" i="1"/>
  <c r="M302" i="1"/>
  <c r="M303" i="1"/>
  <c r="M304" i="1"/>
  <c r="M305" i="1"/>
  <c r="M306" i="1"/>
  <c r="M307" i="1"/>
  <c r="M308" i="1"/>
  <c r="M310" i="1"/>
  <c r="M311" i="1"/>
  <c r="M312" i="1"/>
  <c r="M313" i="1"/>
  <c r="P253" i="1"/>
  <c r="K251" i="1"/>
  <c r="M253" i="1"/>
  <c r="Q245" i="1"/>
  <c r="N289" i="1"/>
  <c r="M289" i="1"/>
  <c r="N302" i="1"/>
  <c r="N303" i="1"/>
  <c r="N304" i="1"/>
  <c r="N305" i="1"/>
  <c r="N306" i="1"/>
  <c r="N307" i="1"/>
  <c r="N308" i="1"/>
  <c r="N310" i="1"/>
  <c r="N311" i="1"/>
  <c r="N312" i="1"/>
  <c r="N313" i="1"/>
  <c r="L253" i="1"/>
  <c r="N251" i="1"/>
  <c r="B383" i="1"/>
  <c r="L383" i="1" s="1"/>
  <c r="N293" i="1"/>
  <c r="Q293" i="1"/>
  <c r="O302" i="1"/>
  <c r="O303" i="1"/>
  <c r="O304" i="1"/>
  <c r="O305" i="1"/>
  <c r="O306" i="1"/>
  <c r="O307" i="1"/>
  <c r="O308" i="1"/>
  <c r="O310" i="1"/>
  <c r="O311" i="1"/>
  <c r="O312" i="1"/>
  <c r="O313" i="1"/>
  <c r="N253" i="1"/>
  <c r="B382" i="1"/>
  <c r="Q382" i="1" s="1"/>
  <c r="P258" i="1"/>
  <c r="P293" i="1"/>
  <c r="K293" i="1"/>
  <c r="P302" i="1"/>
  <c r="P303" i="1"/>
  <c r="P304" i="1"/>
  <c r="P305" i="1"/>
  <c r="P306" i="1"/>
  <c r="P307" i="1"/>
  <c r="P308" i="1"/>
  <c r="P310" i="1"/>
  <c r="P311" i="1"/>
  <c r="P312" i="1"/>
  <c r="P313" i="1"/>
  <c r="M262" i="1"/>
  <c r="K258" i="1"/>
  <c r="N262" i="1"/>
  <c r="Q253" i="1"/>
  <c r="L374" i="1"/>
  <c r="P364" i="1"/>
  <c r="L380" i="1"/>
  <c r="S145" i="4"/>
  <c r="P381" i="1"/>
  <c r="P380" i="1"/>
  <c r="K369" i="1"/>
  <c r="P365" i="1"/>
  <c r="N380" i="1"/>
  <c r="M380" i="1"/>
  <c r="M364" i="1"/>
  <c r="K380" i="1"/>
  <c r="L365" i="1"/>
  <c r="Q364" i="1"/>
  <c r="O364" i="1"/>
  <c r="N364" i="1"/>
  <c r="L364" i="1"/>
  <c r="K364" i="1"/>
  <c r="M381" i="1"/>
  <c r="N381" i="1"/>
  <c r="K366" i="1"/>
  <c r="L375" i="1"/>
  <c r="L367" i="1"/>
  <c r="Q381" i="1"/>
  <c r="Q301" i="1"/>
  <c r="K381" i="1"/>
  <c r="N368" i="1"/>
  <c r="L381" i="1"/>
  <c r="O301" i="1"/>
  <c r="O374" i="1"/>
  <c r="Q379" i="1"/>
  <c r="L301" i="1"/>
  <c r="P301" i="1"/>
  <c r="P371" i="1"/>
  <c r="N379" i="1"/>
  <c r="L377" i="1"/>
  <c r="N371" i="1"/>
  <c r="O370" i="1"/>
  <c r="K377" i="1"/>
  <c r="Q375" i="1"/>
  <c r="P374" i="1"/>
  <c r="Q367" i="1"/>
  <c r="O381" i="1"/>
  <c r="N377" i="1"/>
  <c r="M301" i="1"/>
  <c r="O375" i="1"/>
  <c r="N374" i="1"/>
  <c r="M373" i="1"/>
  <c r="L372" i="1"/>
  <c r="K301" i="1"/>
  <c r="K367" i="1"/>
  <c r="M367" i="1"/>
  <c r="L371" i="1"/>
  <c r="L369" i="1"/>
  <c r="L379" i="1"/>
  <c r="Q376" i="1"/>
  <c r="P375" i="1"/>
  <c r="P367" i="1"/>
  <c r="M371" i="1"/>
  <c r="K376" i="1"/>
  <c r="K368" i="1"/>
  <c r="K371" i="1"/>
  <c r="P368" i="1"/>
  <c r="O367" i="1"/>
  <c r="N366" i="1"/>
  <c r="O380" i="1"/>
  <c r="O379" i="1"/>
  <c r="M374" i="1"/>
  <c r="L373" i="1"/>
  <c r="K372" i="1"/>
  <c r="M366" i="1"/>
  <c r="K379" i="1"/>
  <c r="M368" i="1"/>
  <c r="P379" i="1"/>
  <c r="Q368" i="1"/>
  <c r="M379" i="1"/>
  <c r="L370" i="1"/>
  <c r="M370" i="1"/>
  <c r="P378" i="1"/>
  <c r="N378" i="1"/>
  <c r="P376" i="1"/>
  <c r="Q378" i="1"/>
  <c r="M376" i="1"/>
  <c r="K375" i="1"/>
  <c r="O366" i="1"/>
  <c r="O377" i="1"/>
  <c r="N376" i="1"/>
  <c r="M375" i="1"/>
  <c r="K373" i="1"/>
  <c r="Q371" i="1"/>
  <c r="P370" i="1"/>
  <c r="O369" i="1"/>
  <c r="N370" i="1"/>
  <c r="N369" i="1"/>
  <c r="Q369" i="1"/>
  <c r="N375" i="1"/>
  <c r="O368" i="1"/>
  <c r="O378" i="1"/>
  <c r="L376" i="1"/>
  <c r="N373" i="1"/>
  <c r="Q377" i="1"/>
  <c r="P377" i="1"/>
  <c r="P369" i="1"/>
  <c r="M372" i="1"/>
  <c r="M377" i="1"/>
  <c r="Q373" i="1"/>
  <c r="P372" i="1"/>
  <c r="O371" i="1"/>
  <c r="M369" i="1"/>
  <c r="L368" i="1"/>
  <c r="Q365" i="1"/>
  <c r="M378" i="1"/>
  <c r="O376" i="1"/>
  <c r="Q370" i="1"/>
  <c r="N367" i="1"/>
  <c r="Q380" i="1"/>
  <c r="K374" i="1"/>
  <c r="Q366" i="1"/>
  <c r="P366" i="1"/>
  <c r="Q374" i="1"/>
  <c r="O365" i="1"/>
  <c r="L366" i="1"/>
  <c r="M365" i="1"/>
  <c r="K370" i="1"/>
  <c r="O372" i="1"/>
  <c r="K365" i="1"/>
  <c r="P373" i="1"/>
  <c r="O373" i="1"/>
  <c r="N365" i="1"/>
  <c r="K378" i="1"/>
  <c r="N372" i="1"/>
  <c r="Q372" i="1"/>
  <c r="K385" i="1" l="1"/>
  <c r="S153" i="4"/>
  <c r="M153" i="4"/>
  <c r="L153" i="4"/>
  <c r="Q153" i="4"/>
  <c r="O153" i="4"/>
  <c r="P153" i="4"/>
  <c r="S115" i="4"/>
  <c r="R153" i="4"/>
  <c r="B197" i="4"/>
  <c r="L204" i="11"/>
  <c r="L198" i="4"/>
  <c r="R198" i="4"/>
  <c r="M198" i="4"/>
  <c r="N198" i="4"/>
  <c r="O198" i="4"/>
  <c r="P198" i="4"/>
  <c r="Q198" i="4"/>
  <c r="S198" i="4"/>
  <c r="Q386" i="1"/>
  <c r="L386" i="1"/>
  <c r="P386" i="1"/>
  <c r="N386" i="1"/>
  <c r="K386" i="1"/>
  <c r="M386" i="1"/>
  <c r="O386" i="1"/>
  <c r="L204" i="12"/>
  <c r="I204" i="7"/>
  <c r="K204" i="6"/>
  <c r="O186" i="4"/>
  <c r="M186" i="4"/>
  <c r="S189" i="4"/>
  <c r="O192" i="4"/>
  <c r="R189" i="4"/>
  <c r="P189" i="4"/>
  <c r="L190" i="4"/>
  <c r="N187" i="4"/>
  <c r="Q192" i="4"/>
  <c r="N192" i="4"/>
  <c r="P193" i="4"/>
  <c r="P186" i="4"/>
  <c r="M189" i="4"/>
  <c r="M192" i="4"/>
  <c r="L186" i="4"/>
  <c r="P192" i="4"/>
  <c r="N186" i="4"/>
  <c r="Q186" i="4"/>
  <c r="R186" i="4"/>
  <c r="R192" i="4"/>
  <c r="O189" i="4"/>
  <c r="N189" i="4"/>
  <c r="Q189" i="4"/>
  <c r="O194" i="4"/>
  <c r="R188" i="4"/>
  <c r="S194" i="4"/>
  <c r="Q190" i="4"/>
  <c r="P187" i="4"/>
  <c r="M190" i="4"/>
  <c r="R190" i="4"/>
  <c r="O190" i="4"/>
  <c r="S190" i="4"/>
  <c r="L187" i="4"/>
  <c r="P190" i="4"/>
  <c r="S192" i="4"/>
  <c r="P188" i="4"/>
  <c r="N188" i="4"/>
  <c r="Q188" i="4"/>
  <c r="O188" i="4"/>
  <c r="S188" i="4"/>
  <c r="L188" i="4"/>
  <c r="Q191" i="4"/>
  <c r="N116" i="4"/>
  <c r="R116" i="4"/>
  <c r="P116" i="4"/>
  <c r="M116" i="4"/>
  <c r="Q116" i="4"/>
  <c r="O116" i="4"/>
  <c r="L116" i="4"/>
  <c r="S116" i="4"/>
  <c r="M196" i="4"/>
  <c r="L196" i="4"/>
  <c r="O196" i="4"/>
  <c r="N196" i="4"/>
  <c r="Q194" i="4"/>
  <c r="P194" i="4"/>
  <c r="L191" i="4"/>
  <c r="M194" i="4"/>
  <c r="R194" i="4"/>
  <c r="N194" i="4"/>
  <c r="S196" i="4"/>
  <c r="M191" i="4"/>
  <c r="P191" i="4"/>
  <c r="P196" i="4"/>
  <c r="R191" i="4"/>
  <c r="N191" i="4"/>
  <c r="O191" i="4"/>
  <c r="R196" i="4"/>
  <c r="L193" i="4"/>
  <c r="O187" i="4"/>
  <c r="N193" i="4"/>
  <c r="O125" i="4"/>
  <c r="N125" i="4"/>
  <c r="R125" i="4"/>
  <c r="Q125" i="4"/>
  <c r="P125" i="4"/>
  <c r="L125" i="4"/>
  <c r="M125" i="4"/>
  <c r="S187" i="4"/>
  <c r="R187" i="4"/>
  <c r="S193" i="4"/>
  <c r="Q193" i="4"/>
  <c r="M187" i="4"/>
  <c r="O193" i="4"/>
  <c r="M193" i="4"/>
  <c r="P185" i="4"/>
  <c r="O185" i="4"/>
  <c r="Q185" i="4"/>
  <c r="R185" i="4"/>
  <c r="N185" i="4"/>
  <c r="S185" i="4"/>
  <c r="M185" i="4"/>
  <c r="L185" i="4"/>
  <c r="B195" i="4"/>
  <c r="N384" i="1"/>
  <c r="Q384" i="1"/>
  <c r="L384" i="1"/>
  <c r="O384" i="1"/>
  <c r="O385" i="1"/>
  <c r="P384" i="1"/>
  <c r="M384" i="1"/>
  <c r="Q385" i="1"/>
  <c r="L382" i="1"/>
  <c r="M385" i="1"/>
  <c r="P383" i="1"/>
  <c r="K383" i="1"/>
  <c r="O383" i="1"/>
  <c r="M383" i="1"/>
  <c r="N383" i="1"/>
  <c r="Q383" i="1"/>
  <c r="N385" i="1"/>
  <c r="K382" i="1"/>
  <c r="O382" i="1"/>
  <c r="M382" i="1"/>
  <c r="P382" i="1"/>
  <c r="L385" i="1"/>
  <c r="N382" i="1"/>
  <c r="P385" i="1"/>
  <c r="M197" i="4" l="1"/>
  <c r="R197" i="4"/>
  <c r="N197" i="4"/>
  <c r="Q197" i="4"/>
  <c r="L197" i="4"/>
  <c r="S197" i="4"/>
  <c r="O197" i="4"/>
  <c r="P197" i="4"/>
  <c r="S195" i="4"/>
  <c r="N195" i="4"/>
  <c r="M195" i="4"/>
  <c r="O195" i="4"/>
  <c r="Q195" i="4"/>
  <c r="P195" i="4"/>
  <c r="L195" i="4"/>
  <c r="R195" i="4"/>
  <c r="B309" i="1"/>
  <c r="B387" i="1" l="1"/>
  <c r="R165" i="4"/>
  <c r="Q165" i="4"/>
  <c r="P165" i="4"/>
  <c r="O165" i="4"/>
  <c r="N165" i="4"/>
  <c r="M165" i="4"/>
  <c r="L165" i="4"/>
  <c r="S165" i="4"/>
  <c r="N388" i="1"/>
  <c r="M388" i="1"/>
  <c r="L388" i="1"/>
  <c r="K388" i="1"/>
  <c r="O388" i="1"/>
  <c r="Q388" i="1"/>
  <c r="P388" i="1"/>
  <c r="P309" i="1"/>
  <c r="Q309" i="1"/>
  <c r="N309" i="1"/>
  <c r="O309" i="1"/>
  <c r="K309" i="1"/>
  <c r="L309" i="1"/>
  <c r="M309" i="1"/>
  <c r="N387" i="1" l="1"/>
  <c r="P387" i="1"/>
  <c r="O387" i="1"/>
  <c r="L387" i="1"/>
  <c r="M387" i="1"/>
  <c r="K387" i="1"/>
  <c r="Q387" i="1"/>
</calcChain>
</file>

<file path=xl/sharedStrings.xml><?xml version="1.0" encoding="utf-8"?>
<sst xmlns="http://schemas.openxmlformats.org/spreadsheetml/2006/main" count="794" uniqueCount="318">
  <si>
    <t>Mon-Yr</t>
  </si>
  <si>
    <t>TOTAL LAFAYETTE PARISH RETAIL SALES</t>
  </si>
  <si>
    <t>City of Lafayette</t>
  </si>
  <si>
    <t>Broussard</t>
  </si>
  <si>
    <t>Carencro</t>
  </si>
  <si>
    <t>Duson</t>
  </si>
  <si>
    <t>Scott</t>
  </si>
  <si>
    <t>Youngsville</t>
  </si>
  <si>
    <t>Parish Unincorporated</t>
  </si>
  <si>
    <t>Year</t>
  </si>
  <si>
    <t>2022 YTD</t>
  </si>
  <si>
    <t>2023 YTD</t>
  </si>
  <si>
    <t>2024 YTD</t>
  </si>
  <si>
    <t>% Change 2022 to 2023</t>
  </si>
  <si>
    <t>% Change 2023 to 2024</t>
  </si>
  <si>
    <t>% Change 2022 to 2024</t>
  </si>
  <si>
    <t>Current Month 2022</t>
  </si>
  <si>
    <t>Current Month 2023</t>
  </si>
  <si>
    <t>Current Month 2024</t>
  </si>
  <si>
    <t>TOTAL CITY OF LAFAYETTE RETAIL SALES</t>
  </si>
  <si>
    <t>Food</t>
  </si>
  <si>
    <t>Apparel</t>
  </si>
  <si>
    <t>Gen.Merch.</t>
  </si>
  <si>
    <t>Auto</t>
  </si>
  <si>
    <t>Furniture</t>
  </si>
  <si>
    <t>Build Materials</t>
  </si>
  <si>
    <t>Service</t>
  </si>
  <si>
    <t>Other</t>
  </si>
  <si>
    <t>Percentage Change</t>
  </si>
  <si>
    <t>Date</t>
  </si>
  <si>
    <t>Total Retail Taxable Sales</t>
  </si>
  <si>
    <t>Source: LPSS Sales Tax Division</t>
  </si>
  <si>
    <t>Department Of Revenue –State of Louisiana Commodity and Industrial Classification Code (based on June 1, 1946 document)</t>
  </si>
  <si>
    <t>Food Group</t>
  </si>
  <si>
    <t>Grocery Stores</t>
  </si>
  <si>
    <t>Establishments primarily engaged in the sale of all sorts of canned foods, and dry goods, either packaged or bulk, such as tea, coffee, spices, sugar flour, etc.  Frequently, grocery stores also sell meat and fresh fruit and vegetables.</t>
  </si>
  <si>
    <t>Fruit Stores and Vegetable Markets</t>
  </si>
  <si>
    <t>Establishments primarily engaged in the sale of fresh fruits and vegetables.</t>
  </si>
  <si>
    <t>Meat and Seafood Markets</t>
  </si>
  <si>
    <t>Establishments primarily in the sale of fresh or cured meats, slaughter house, fish, oysters, shellfish and other sea foods.</t>
  </si>
  <si>
    <t>Restaurants and Cafes</t>
  </si>
  <si>
    <t>Establishments engaged in the sale of prepared foods and drinks for consumption on the premises.</t>
  </si>
  <si>
    <t>Saloons, Bars, Nightclubs, Package Goods Stores (alcoholic)</t>
  </si>
  <si>
    <t>Establishments primarily engaged in the selling of prepared drinks for consumption on the premises.  Also establishments engaged in the retail sale of bottled or otherwise packaged alcoholic beverages, such as beer, ale, wind, and whiskey for consumption off the premises.</t>
  </si>
  <si>
    <t>Dairy Products and Egg and Poultry Dealers</t>
  </si>
  <si>
    <t>Establishments engaged in the sales of dairy products such s milk, cream, butter, cheese, ice cream and related products and those engaged in the sale of eggs, live and dressed poultry.</t>
  </si>
  <si>
    <t>Bakeries</t>
  </si>
  <si>
    <t>Establishments in manufacturing bread, cakes, pastries, etc. for sale to retailers and directly to consumers.</t>
  </si>
  <si>
    <t>Chain Stores</t>
  </si>
  <si>
    <t>Establishments operating two or more stores under the same general management, supervision, ownership or control commonly known as branch or chain stores primarily engaged in the sale of food.</t>
  </si>
  <si>
    <t>Foods not otherwise indexed by name</t>
  </si>
  <si>
    <t>Establishments primarily engaged in the sale of food other than those classified above.  Teen Age Center, Sweet Shops and etc.</t>
  </si>
  <si>
    <t>Apparel Group</t>
  </si>
  <si>
    <t>Men and Boys’ Clothing and Furnishing Stores</t>
  </si>
  <si>
    <t>Establishments primarily engaged in the sale of men and boys’ overcoats, topcoats, suits, work clothing, hats and furnishings.</t>
  </si>
  <si>
    <t>Women’s Ready-to-wear Stores</t>
  </si>
  <si>
    <t>Establishments primarily engaged in the sale of women’s ready-to-wear coats, suits and dresses.</t>
  </si>
  <si>
    <t>Millinery and Accessory Specialty Stores</t>
  </si>
  <si>
    <t>Establishments primarily engaged in the sale of women’s costume accessories such as costume jewelry, gloves, handbags, and related articles.</t>
  </si>
  <si>
    <t>Shoe Stores</t>
  </si>
  <si>
    <t>Establishments primarily engaged in the sale of footwear fro men, women, and children.</t>
  </si>
  <si>
    <t>N/A</t>
  </si>
  <si>
    <t>Salvage Clothing</t>
  </si>
  <si>
    <t>Children Shop, Ready to Wear</t>
  </si>
  <si>
    <t>Chain Stores – Apparel Group</t>
  </si>
  <si>
    <t>Apparel Not otherwise indexed by name</t>
  </si>
  <si>
    <t>General Merchandise Group</t>
  </si>
  <si>
    <t>Department Stores – Dry Goods</t>
  </si>
  <si>
    <t>Establishments primarily engaged in the selling at retail, on a departmentalized basis, a combination of dry goods, apparel, furniture, home furnishings, and may carry other lines.</t>
  </si>
  <si>
    <t>Country and Farm Stores</t>
  </si>
  <si>
    <t>Farm general stores, commissaries, etc.</t>
  </si>
  <si>
    <t xml:space="preserve">Variety Stores </t>
  </si>
  <si>
    <t>Establishments primarily engaged in the selling at retail a variety of small wares in the low price range.</t>
  </si>
  <si>
    <t>Drug Stores</t>
  </si>
  <si>
    <t>Establishments primarily engaged in the sale of drugs, and patent medicines, and which may carry a number of related items, such as cosmetics, toiletries, cameras, tobacco and novelty merchandise.  This industry also includes drug stores which operate soda fountains or lunch counters.</t>
  </si>
  <si>
    <t>Jewelry – Leather Goods – Sporting Goods Stores</t>
  </si>
  <si>
    <t>Establishments primarily engaged in the sale of jewelry, diamonds, other precious stones, sterling and plated silverware, watches, clocks, optical goods *not regular optical establishments), leather goods, sporting goods such as gymnasium or playground equipment, hunters’ supplies, etc.</t>
  </si>
  <si>
    <t>Feed and Seed Stores</t>
  </si>
  <si>
    <t>Establishments primarily engaged in the sale of farm and garden supplies, such as feed, hay, grain, fertilizer, seeds, bulbs, nursery stock and garden implements.</t>
  </si>
  <si>
    <t>Hardware Stores</t>
  </si>
  <si>
    <t>Establishments primarily engaged in the sale of any combination of the basic lines of hardware such as tools, builders’ hardware, cutlery, paint, glass, wallpaper, house ware, and household appliances and related lines.</t>
  </si>
  <si>
    <t>Farm Implement Dealers</t>
  </si>
  <si>
    <t>Establishments primarily engaged in the sale of farm tractors, mowers, reapers, cultivators, plows and related farm implements, with or without the sale of hardware.</t>
  </si>
  <si>
    <t>Chain Stores – General Merchandise Group</t>
  </si>
  <si>
    <t>General Merchandise not otherwise indexed by name</t>
  </si>
  <si>
    <t>N/A (big box stores like Best Buy and Circuit City - specialty retail)</t>
  </si>
  <si>
    <t>Automotive Group</t>
  </si>
  <si>
    <t xml:space="preserve">Motor Vehicle Dealers – new and Used Cars </t>
  </si>
  <si>
    <t>Establishments primarily engaged in the sale of new and used automobiles, trucks and trailers and related accessories, etc.</t>
  </si>
  <si>
    <t>Automotive Parts, Accessories, Tire and Battery Dealers</t>
  </si>
  <si>
    <t>Establishments primarily engaged in the sale of automobile parts, accessories, tires, batteries.  Also dealers in used parts and tires. (Auto Lec Stores)</t>
  </si>
  <si>
    <t>Service Stations – Gas, Oil, etc.</t>
  </si>
  <si>
    <t>Establishments primarily engaged in the sale of gasoline and lubricating oils, and which ay sell minor lines of merchandise or perform minor repair work incidental to the sale of gasoline and lubricating oils.</t>
  </si>
  <si>
    <t xml:space="preserve">Garages, Repair Shops </t>
  </si>
  <si>
    <t>Establishments primarily engaged in specialized automobile repairs and services including radiator and tire repair, automobile painting, brake repair, ace and wheel straightening, towing service, etc.</t>
  </si>
  <si>
    <t>Diesel Fuel or Fuel Oil</t>
  </si>
  <si>
    <t>Marine Supplies</t>
  </si>
  <si>
    <t>Motor Boats, Small Crafts, Boat Motors and Accessories</t>
  </si>
  <si>
    <t>Aircrafts and etc.</t>
  </si>
  <si>
    <t>Chain Stores – Automotive Group</t>
  </si>
  <si>
    <t>Automotive not otherwise indexed by name</t>
  </si>
  <si>
    <t>(Trailer Houses)</t>
  </si>
  <si>
    <t>Furniture, Home Furnishings and Equipment Group</t>
  </si>
  <si>
    <t>Furniture Stores</t>
  </si>
  <si>
    <t>Establishments primarily engaged in the sale of all kinds of household furniture</t>
  </si>
  <si>
    <t>Electrical and Gas Household Appliance Stores and Radio Dealers</t>
  </si>
  <si>
    <t>Establishments primarily engaged in the sale of electrical or gas household appliances, including radios, T.V., refrigerators, stoves, vacuum cleaners, washing machines, electric irons, percolators, hot plates, etc.  Retail appliance stores operated by public utility companies are also classified in this group.</t>
  </si>
  <si>
    <t>Liquefied Petroleum Gas (Butane) Dealers</t>
  </si>
  <si>
    <t>Establishments primarily engaged in the sale of butane gas to consumers.  Such establishments are also engaged in the sale and installation of butane fixtures, stoves, heaters, etc.</t>
  </si>
  <si>
    <t>Store and Office Furniture and Equipment</t>
  </si>
  <si>
    <t>Establishments primarily engaged in the sale of store fixtures, office furniture and supplies, stationery, books, computers, etc.</t>
  </si>
  <si>
    <t>Hotel Restaurant and Institutional Supplies</t>
  </si>
  <si>
    <t>Awnings, Venetian Blinds, Upholstery, Plate Glass and Jalousie Windows</t>
  </si>
  <si>
    <t>Dental, Optical and Doctors’ Supplies</t>
  </si>
  <si>
    <t>Safe, Locks</t>
  </si>
  <si>
    <t>(Gun and Locksmiths)</t>
  </si>
  <si>
    <t>Chain Stores – Furniture and Home Furnishings</t>
  </si>
  <si>
    <t xml:space="preserve">Furniture and Home Furnishings not otherwise indexed by name </t>
  </si>
  <si>
    <t>(Antiques, Mattress Works)</t>
  </si>
  <si>
    <t>Lumber, Building and Contractors Group</t>
  </si>
  <si>
    <t>Building and Construction Contractors</t>
  </si>
  <si>
    <t>General contractors primarily engaged in the building and construction of private residences, apartment buildings, farm buildings, industrial and commercial structures including stores, light and power plants, natural gas compressing stations, oil pumping stations, public buildings, building alterations and repairs.</t>
  </si>
  <si>
    <t>Lumber, Building Material, Paint and Wallpaper Stores</t>
  </si>
  <si>
    <t>Establishments primarily engaged in the sale of lumber, building materials and supplies, paint, wallpaper, etc., to owners of real property to be used by them in erecting, altering, improving, or repairing buildings, cabinet shops.</t>
  </si>
  <si>
    <t>Electrical Elevators, Plumbing and Heating Materials</t>
  </si>
  <si>
    <t>Establishments primarily engaged in the sale of electrical fixtures, elevators, plumbing supplies and heating materials, etc.</t>
  </si>
  <si>
    <t>Oil Well Equipment</t>
  </si>
  <si>
    <t>Establishments primarily engaged in the sale of oil well equipment and related supplies</t>
  </si>
  <si>
    <t>Electrical, Plumbing, Heating, and Air-Conditioning Contractors</t>
  </si>
  <si>
    <t>Special Trade contractors primarily engaged in electrical heating, plumbing, air-conditioning, refrigeration and ventilating work and also in the installation of heating equipment. Pipe coverings, sprinkler systems of any combination of the above types of work.</t>
  </si>
  <si>
    <t>Painting, Paperhanging and Decorating Contractors</t>
  </si>
  <si>
    <t>Special-trade contractors primarily engage din interior and exterior painting of buildings, paperhanging and decorating.</t>
  </si>
  <si>
    <t>Roofing and Sheet Metal Contractors</t>
  </si>
  <si>
    <t>Special-trade contractors primarily engage din the installation or repair of metal ceilings, skylights, roofing, siding and similar sheet metal work in connection with construction.</t>
  </si>
  <si>
    <t>Heavy Equipment, Trucks, Bulldozers, Dragline and etc.</t>
  </si>
  <si>
    <t>Chain Stores – Lumber, Building, etc.</t>
  </si>
  <si>
    <t xml:space="preserve">Lumber, Building and Contractors not otherwise indexed by name </t>
  </si>
  <si>
    <t>Miscellaneous Service Group</t>
  </si>
  <si>
    <t>Hotels, Rooming Houses, Tourist Courts</t>
  </si>
  <si>
    <t>Establishments primarily engaged in the rental of rooms to transients or regular roomers on daily, weekly, or monthly rates.</t>
  </si>
  <si>
    <t>Leasing or renting Tangible Personal Property</t>
  </si>
  <si>
    <t>Establishments primarily engaged in the leasing or rental of tangible personal property such as accounting machines, office equipment, automobiles, taxis, accessories, oilfield equipment, machinery, etc.</t>
  </si>
  <si>
    <t>Bowling Alleys, Billiard Halls</t>
  </si>
  <si>
    <t>Establishments primarily engaged in the operation of bowling alleys, billiard halls, domino parlors, shooting galleries, etc.</t>
  </si>
  <si>
    <t>Laundries, Cleaning and Pressing, Tailoring, Dyeing and Alteration Shops</t>
  </si>
  <si>
    <t>Establishments primarily engaged in operating hand or power laundries; cleaning, pressing, dyeing and repairing and altering clothing, etc.</t>
  </si>
  <si>
    <t>Newspapers, job printers</t>
  </si>
  <si>
    <t>Establishments primarily engaged in publishing newspapers or in preparing, publishing and printing newspapers.  Such establishments may be engaged in commercial or job printing.</t>
  </si>
  <si>
    <t>Bed and Breakfast</t>
  </si>
  <si>
    <t>Warehouses and storage plants</t>
  </si>
  <si>
    <t>Establishments primarily engaged in the warehousing for hire of unmanufactured farm products, perishable goods at artificially low temperature, household goods, furs, textiles, whiskey, goods in bond, etc.</t>
  </si>
  <si>
    <t>Shoe Repair Shops and Shoe-Shine Parlors</t>
  </si>
  <si>
    <t>Establishments primarily engaged in repairing footwear, luggage, and/or shining shoes.</t>
  </si>
  <si>
    <t>Machine Shops and Foundries, Welding</t>
  </si>
  <si>
    <t>Establishments primarily engaged in the repair of machinery and the fabrication of machine parts by use of machine tools, lathes, drill presses, forges, etc.  Such establishments may also operate as foundries engaged in the fabrication of castings, etc.</t>
  </si>
  <si>
    <t>Miscellaneous Service Groups not otherwise indexed by name</t>
  </si>
  <si>
    <t>Theaters, parking service, Skating Rinks, and Miniature Golf</t>
  </si>
  <si>
    <t>Manufacturers Group</t>
  </si>
  <si>
    <t xml:space="preserve">Beverage Bottlers </t>
  </si>
  <si>
    <t>Establishments primarily engaged in manufacturing carbonated beverages, malt liquors such as ale, beer, porter, stout and malt extract, dry and sweet wines, etc.</t>
  </si>
  <si>
    <t>Sugar Refineries</t>
  </si>
  <si>
    <t>Establishments primarily engaged in manufacturing raw sugar, syrup or finished cane sugar from sugar cane and refining of same into the finished product.</t>
  </si>
  <si>
    <t>Crude Petroleum, Natural Gas and Natural Gasoline Production</t>
  </si>
  <si>
    <t>Establishments primarily engaged in producing crude petroleum, natural gas from gas wells and natural gasoline from natural gas or from casing-head gas wells.</t>
  </si>
  <si>
    <t>Petroleum refineries</t>
  </si>
  <si>
    <t>Establishments primarily engaged in refining crude petroleum by distillation and producing gasoline, fuel oil, lubricating oils, illuminating oils and other petroleum products.</t>
  </si>
  <si>
    <t>Sawmills, Planing Mills, Sash and Door Manufacturers</t>
  </si>
  <si>
    <t>Establishments primarily engaged in sawing rough lumber, lath, railway ties; in producing veneers, shingles, cooperage stock’ in manufacturing, from rough lumber, dressed lumber, sash, doors, window an door frames, interior woodwork, molding, etc.</t>
  </si>
  <si>
    <t>Sand and Gravel Quarries, Pits and Dredges</t>
  </si>
  <si>
    <t>Establishments primarily engaged in operating sand and gravel quarries or pits and dredges and in working screening, and otherwise preparing sand and gravel for construction and other uses.</t>
  </si>
  <si>
    <t>Rice Mills</t>
  </si>
  <si>
    <t>Establishments primarily engaged in milling rice, cleaning and polishing same and otherwise preparing for human consumption.</t>
  </si>
  <si>
    <t>Cotton Seed Oil Mills and Fertilizer Plants</t>
  </si>
  <si>
    <t>Establishments primarily engaged in manufacturing cotton seed oil, cake, meal, and linters, commercial fertilizer, superphosphates, etc.</t>
  </si>
  <si>
    <t>Ice Manufacturing</t>
  </si>
  <si>
    <t xml:space="preserve">Establishments primarily engaged in manufacturing ice for sale.  Such establishments may operate cold storage facilities in connection therewith.  </t>
  </si>
  <si>
    <t>Manufacturers not otherwise indexed by name</t>
  </si>
  <si>
    <t>Chemicals and etc.</t>
  </si>
  <si>
    <t>Utilities Group</t>
  </si>
  <si>
    <t>Railroads</t>
  </si>
  <si>
    <t>All line-haul railroad companies regulated by the interstate commerce commission handling freight and/or passenger.</t>
  </si>
  <si>
    <t>Street and Suburban Railways and Bus lines</t>
  </si>
  <si>
    <t>Companies primarily engaged in operating street and suburban railways which provide facilities confined to a single municipality, contiguous municipalities, or a municipality and its suburban areas and which are also operating bus lines.</t>
  </si>
  <si>
    <t>Pullman and Tank Car Companies</t>
  </si>
  <si>
    <t>Companies primarily engaged in standard sleeping, parlor, composite, private and other cars to furnish berths or seats to passengers.  Also companies operating tank cars for the transportation of oil, gasoline, molasses, milk and other bulk liquids.</t>
  </si>
  <si>
    <t>Trucking, Motor Freight Lines and Interurban Bus lines</t>
  </si>
  <si>
    <t>Companies primarily engaged in trucking transfer and drayage services on a common carrier or contract basis, including motor freight transportation; also bus lines which provide facilities between communities separated by open country on regular schedules with fixed rates.</t>
  </si>
  <si>
    <t>Fire Protection Equipment</t>
  </si>
  <si>
    <t>Pipelines</t>
  </si>
  <si>
    <t>Companies primarily engaged in the operation of common carrier petroleum or gasoline pipe lines.</t>
  </si>
  <si>
    <t>Gas, Light, and Power and Waterworks Companies</t>
  </si>
  <si>
    <t>Companies engaged in distributing natural or manufactured gas thru mains to domestic and commercial consumers for heating and illuminating purposes; engaged in producing and distributing electricity to domestic and commercial consumers for heating, power and illuminating purposes and in distributing water for domestic, industrial and commercial uses.</t>
  </si>
  <si>
    <t>Telephone and Telegraph Companies</t>
  </si>
  <si>
    <t>Companies engaged in furnishing communication services to the general public by telephone and telegraph systems.</t>
  </si>
  <si>
    <t>Utilities not otherwise indexed by name</t>
  </si>
  <si>
    <t>Miscellaneous Group</t>
  </si>
  <si>
    <t>Book Stores and Stationery Shops</t>
  </si>
  <si>
    <t>Establishments primarily engaged in the sale of books or stationery.  These establishments may operate lending libraries and also dos some printing.</t>
  </si>
  <si>
    <t>Itinerant Vendors</t>
  </si>
  <si>
    <t>Persons engaged in the sale of cosmetics, patent medicines, tea, spices, brushes and other commodities on a door to door basis.  Such persons usually take orders for future delivery of such cosmetics, and peddlers.  Cook wear, Fruits, and Vegetables.</t>
  </si>
  <si>
    <t>Piano and Musical Instrument Stores and Record Shops</t>
  </si>
  <si>
    <t>Establishments primarily engaged in the sale of pianos, wood-wind musical instruments, stringed musical instruments and related items.</t>
  </si>
  <si>
    <t>Iron, Sheet metal Junk Yards</t>
  </si>
  <si>
    <t>Establishments primarily engaged in the buying and selling of second=-hand or used iron or steel articles, sheet metal, broken glass, bones, worn out batteries, and other items associated with this particular business.</t>
  </si>
  <si>
    <t>Photo Studios, Photographers, Photostats, Blue Prints, etc.</t>
  </si>
  <si>
    <t xml:space="preserve">Establishments engaged in portrait photography for the general public and which may be engaged in amateur film developing and print processing’ also still-photography for advertising agencies, publishers and other commercial users’ also Photostat companies and those engaged in the reproduction of blue prints thru photography. </t>
  </si>
  <si>
    <t>Cigar Stores and Newsstands</t>
  </si>
  <si>
    <t>Establishments primarily in the sale of cigars, cigarettes, tobacco and smokers’ supplies; also other merchandise such as newspapers, magazines, novelties, etc.</t>
  </si>
  <si>
    <t>Florists and Nurseries</t>
  </si>
  <si>
    <t>Establishments primarily engaged in the sale of cut flowers and growing plants; also in the sale of seeds, bulbs, nursery stock, etc.</t>
  </si>
  <si>
    <t>Funeral Parlors – Undertakers</t>
  </si>
  <si>
    <t>Establishments primarily engaged in the sale of caskets and vaults and in preparing the dead for burial, and conducting funerals.</t>
  </si>
  <si>
    <t>Bait Stand, Fishing Baits and Supplies</t>
  </si>
  <si>
    <t>Others than rods, reels, nets, and etc.</t>
  </si>
  <si>
    <t>Miscellaneous – Not otherwise indexed by name</t>
  </si>
  <si>
    <t>Establishments not otherwise classified in this group.</t>
  </si>
  <si>
    <t>Common Carriers</t>
  </si>
  <si>
    <t>Primarily engaged in the transport of passenger and property for hire in Interstate or foreign commerce, trucks, airplanes, buses, and railroads.</t>
  </si>
  <si>
    <t>Source:  Lafayette Parish School Board, Sales Tax Division</t>
  </si>
  <si>
    <t>01 Grocery Stores</t>
  </si>
  <si>
    <t>02 Fruit Markets</t>
  </si>
  <si>
    <t>03 Meat Markets</t>
  </si>
  <si>
    <t>04 Restaurants</t>
  </si>
  <si>
    <t>05 Bars/Nightclubs</t>
  </si>
  <si>
    <t>06 Dairy Products</t>
  </si>
  <si>
    <t>07 Bakeries</t>
  </si>
  <si>
    <t>08 Chain Stores</t>
  </si>
  <si>
    <t>09 Other Foods</t>
  </si>
  <si>
    <t>TOTAL FOOD</t>
  </si>
  <si>
    <t>10 Mens Clothing</t>
  </si>
  <si>
    <t>11 Women's Cloth..</t>
  </si>
  <si>
    <t>12 Specialty Stores</t>
  </si>
  <si>
    <t>13 Shoe Stores</t>
  </si>
  <si>
    <t>16 Childrens</t>
  </si>
  <si>
    <t>18 Chain Stores</t>
  </si>
  <si>
    <t>19 Other Apparel</t>
  </si>
  <si>
    <t>TOTAL APPAREL</t>
  </si>
  <si>
    <t>20 Dept. Stores</t>
  </si>
  <si>
    <t>21 Farm Stores</t>
  </si>
  <si>
    <t>22 Gift Shops</t>
  </si>
  <si>
    <t>23 Drug Stores</t>
  </si>
  <si>
    <t>24 Jewelry Stores</t>
  </si>
  <si>
    <t>25 Feed Stores</t>
  </si>
  <si>
    <t>26 Hardware</t>
  </si>
  <si>
    <t>27 Farm Imple…</t>
  </si>
  <si>
    <t>28 Chain Stores</t>
  </si>
  <si>
    <t>29 Other Gen. Msde.</t>
  </si>
  <si>
    <t>TOTAL GENERAL MERCHANDISE</t>
  </si>
  <si>
    <t>30 Vehicle Dlrs.</t>
  </si>
  <si>
    <t>31 Auto Parts</t>
  </si>
  <si>
    <t>32 Service Sta.</t>
  </si>
  <si>
    <t>33 Repair Shops</t>
  </si>
  <si>
    <t>34 Diesel</t>
  </si>
  <si>
    <t>35 Marine</t>
  </si>
  <si>
    <t>36 Motor Boats</t>
  </si>
  <si>
    <t>37 Aircraft</t>
  </si>
  <si>
    <t>38 Chain Stores</t>
  </si>
  <si>
    <t>39 Other Auto.</t>
  </si>
  <si>
    <t>TOTAL AUTOMOTIVE</t>
  </si>
  <si>
    <t xml:space="preserve">                -  </t>
  </si>
  <si>
    <t>40 Furniture Strs.</t>
  </si>
  <si>
    <t>41 Appliances</t>
  </si>
  <si>
    <t>42 Butane Dlrs.</t>
  </si>
  <si>
    <t>43 Office Supply</t>
  </si>
  <si>
    <t>44 Hotel/Rest. Sply.</t>
  </si>
  <si>
    <t>45 Upholstery</t>
  </si>
  <si>
    <t>46 Doctors, Sply.</t>
  </si>
  <si>
    <t>47 Locksmiths</t>
  </si>
  <si>
    <t>48 Chain Stores</t>
  </si>
  <si>
    <t>49 Other Furn…</t>
  </si>
  <si>
    <t>TOTAL HOME FURNISHINGS</t>
  </si>
  <si>
    <t>50 Bldg. Contr.</t>
  </si>
  <si>
    <t>51 Bldg. Mat. Stores</t>
  </si>
  <si>
    <t>52 Elec/Plumbing</t>
  </si>
  <si>
    <t>53 Oil Well Equip.</t>
  </si>
  <si>
    <t>54 Elec/Plumb. Cont.</t>
  </si>
  <si>
    <t>55 Painting Cont.</t>
  </si>
  <si>
    <t>56 Roofing Cont.</t>
  </si>
  <si>
    <t>57 Heavy Equip.</t>
  </si>
  <si>
    <t>58 Chain Stores</t>
  </si>
  <si>
    <t>59 Other Bldg.</t>
  </si>
  <si>
    <t>TOTAL BUILDING MATERIALS</t>
  </si>
  <si>
    <t>60 Hotel/Motel</t>
  </si>
  <si>
    <t>61 Leasing/Renting</t>
  </si>
  <si>
    <t>62 Bowling Alleys</t>
  </si>
  <si>
    <t>63 Laundries</t>
  </si>
  <si>
    <t>64 Printers</t>
  </si>
  <si>
    <t>65 Bed and Breakfast</t>
  </si>
  <si>
    <t>66 Warehouses</t>
  </si>
  <si>
    <t>67 Shoe Repair</t>
  </si>
  <si>
    <t>68 Machine Shops</t>
  </si>
  <si>
    <t>69 Other</t>
  </si>
  <si>
    <t>TOTAL SERVICES</t>
  </si>
  <si>
    <t>65 Cotton Gins</t>
  </si>
  <si>
    <t>70 Bottlers</t>
  </si>
  <si>
    <t>72 Sugar Ref..</t>
  </si>
  <si>
    <t>73 Petroleum</t>
  </si>
  <si>
    <t>75 Sawmills</t>
  </si>
  <si>
    <t>78 Ice Mfg.</t>
  </si>
  <si>
    <t>79 Other Mfg.</t>
  </si>
  <si>
    <t>TOTAL MANUFACTURING</t>
  </si>
  <si>
    <t>84 Railroads</t>
  </si>
  <si>
    <t>86 Pipelines</t>
  </si>
  <si>
    <t>87 Power Co.</t>
  </si>
  <si>
    <t>88 Telephone Co.</t>
  </si>
  <si>
    <t>89 Other Utl.</t>
  </si>
  <si>
    <t>TOTAL UTILITIES</t>
  </si>
  <si>
    <t xml:space="preserve">                  -  </t>
  </si>
  <si>
    <t>90 Book Stores</t>
  </si>
  <si>
    <t>92 Music Stores</t>
  </si>
  <si>
    <t>93 Junk Yards</t>
  </si>
  <si>
    <t>94 Photo Studios</t>
  </si>
  <si>
    <t>95 Newstands</t>
  </si>
  <si>
    <t>96 Florists</t>
  </si>
  <si>
    <t>97 Funeral Parlors</t>
  </si>
  <si>
    <t>98 Bait Shops</t>
  </si>
  <si>
    <t>99 Miscellaneous</t>
  </si>
  <si>
    <t>TOTAL 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</si>
</sst>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409]mmm\-yy;@"/>
    <numFmt numFmtId="165" formatCode="0.0%"/>
    <numFmt numFmtId="166" formatCode="&quot;$&quot;#,##0"/>
    <numFmt numFmtId="167" formatCode="_(* #,##0_);_(* \(#,##0\);_(* &quot;-&quot;??_);_(@_)"/>
    <numFmt numFmtId="168" formatCode="&quot;$&quot;#,##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0"/>
      <name val="Arial"/>
      <family val="2"/>
    </font>
    <font>
      <b/>
      <sz val="14"/>
      <name val="Arial"/>
      <family val="2"/>
    </font>
    <font>
      <b/>
      <sz val="12"/>
      <name val="Arial"/>
      <family val="2"/>
    </font>
    <font>
      <sz val="14"/>
      <name val="Arial"/>
      <family val="2"/>
    </font>
    <font>
      <b/>
      <sz val="10"/>
      <name val="Arial"/>
      <family val="2"/>
    </font>
    <font>
      <b/>
      <sz val="18"/>
      <name val="Arial"/>
      <family val="2"/>
    </font>
    <font>
      <sz val="10"/>
      <name val="Arial"/>
      <family val="2"/>
    </font>
    <font>
      <sz val="10"/>
      <name val="Arial"/>
      <family val="2"/>
    </font>
    <font>
      <sz val="11"/>
      <color indexed="8"/>
      <name val="Calibri"/>
      <family val="2"/>
      <scheme val="minor"/>
    </font>
    <font>
      <sz val="10"/>
      <name val="Arial"/>
      <family val="2"/>
    </font>
    <font>
      <sz val="10"/>
      <color theme="1"/>
      <name val="Garamond"/>
      <family val="1"/>
    </font>
    <font>
      <sz val="10"/>
      <color theme="1"/>
      <name val="Arial"/>
      <family val="2"/>
    </font>
    <font>
      <sz val="10"/>
      <color theme="1"/>
      <name val="Tw Cen MT"/>
      <family val="2"/>
    </font>
    <font>
      <sz val="11"/>
      <name val="Calibri"/>
      <family val="2"/>
      <scheme val="minor"/>
    </font>
    <font>
      <sz val="8"/>
      <color theme="1"/>
      <name val="Arial"/>
      <family val="2"/>
    </font>
    <font>
      <b/>
      <sz val="10"/>
      <color theme="1"/>
      <name val="Arial"/>
      <family val="2"/>
    </font>
    <font>
      <b/>
      <sz val="10"/>
      <color indexed="8"/>
      <name val="Tw Cen MT"/>
      <family val="2"/>
    </font>
    <font>
      <b/>
      <sz val="11"/>
      <color rgb="FFA92D29"/>
      <name val="Tw Cen MT"/>
      <family val="2"/>
    </font>
  </fonts>
  <fills count="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indexed="22"/>
        <bgColor indexed="64"/>
      </patternFill>
    </fill>
    <fill>
      <patternFill patternType="solid">
        <fgColor theme="0"/>
        <bgColor indexed="64"/>
      </patternFill>
    </fill>
  </fills>
  <borders count="57">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double">
        <color indexed="0"/>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1060">
    <xf numFmtId="0" fontId="0" fillId="0" borderId="0"/>
    <xf numFmtId="0" fontId="1" fillId="0" borderId="0"/>
    <xf numFmtId="0" fontId="4" fillId="0" borderId="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3" fontId="4" fillId="0" borderId="0" applyFont="0" applyFill="0" applyBorder="0" applyAlignment="0" applyProtection="0"/>
    <xf numFmtId="4" fontId="4" fillId="0" borderId="0" applyFont="0" applyFill="0" applyBorder="0" applyAlignment="0" applyProtection="0"/>
    <xf numFmtId="43" fontId="4" fillId="0" borderId="0" applyFont="0" applyFill="0" applyBorder="0" applyAlignment="0" applyProtection="0"/>
    <xf numFmtId="4" fontId="4" fillId="0" borderId="0" applyFont="0" applyFill="0" applyBorder="0" applyAlignment="0" applyProtection="0"/>
    <xf numFmtId="43"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4"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6" fillId="0" borderId="0" applyNumberFormat="0" applyFont="0" applyFill="0" applyAlignment="0" applyProtection="0"/>
    <xf numFmtId="0" fontId="4" fillId="0" borderId="0">
      <alignment vertical="top"/>
    </xf>
    <xf numFmtId="0" fontId="4" fillId="0" borderId="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4" fillId="0" borderId="15" applyNumberFormat="0" applyFont="0" applyBorder="0" applyAlignment="0" applyProtection="0"/>
    <xf numFmtId="0" fontId="10" fillId="0" borderId="0"/>
    <xf numFmtId="9" fontId="1" fillId="0" borderId="0" applyFont="0" applyFill="0" applyBorder="0" applyAlignment="0" applyProtection="0"/>
    <xf numFmtId="0" fontId="11" fillId="0" borderId="0"/>
    <xf numFmtId="44" fontId="1" fillId="0" borderId="0" applyFont="0" applyFill="0" applyBorder="0" applyAlignment="0" applyProtection="0"/>
    <xf numFmtId="0" fontId="13" fillId="0" borderId="0"/>
    <xf numFmtId="43" fontId="1" fillId="0" borderId="0" applyFont="0" applyFill="0" applyBorder="0" applyAlignment="0" applyProtection="0"/>
  </cellStyleXfs>
  <cellXfs count="322">
    <xf numFmtId="0" fontId="0" fillId="0" borderId="0" xfId="0"/>
    <xf numFmtId="164"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0" fillId="0" borderId="0" xfId="0" applyAlignment="1">
      <alignment wrapText="1"/>
    </xf>
    <xf numFmtId="3" fontId="2" fillId="3" borderId="1" xfId="0" applyNumberFormat="1" applyFont="1" applyFill="1" applyBorder="1" applyAlignment="1">
      <alignment horizontal="center" vertical="center" wrapText="1"/>
    </xf>
    <xf numFmtId="164" fontId="2" fillId="0" borderId="4" xfId="0" applyNumberFormat="1" applyFont="1" applyBorder="1"/>
    <xf numFmtId="3" fontId="0" fillId="0" borderId="4" xfId="0" applyNumberFormat="1" applyBorder="1"/>
    <xf numFmtId="3" fontId="3" fillId="0" borderId="5" xfId="0" applyNumberFormat="1" applyFont="1" applyBorder="1" applyAlignment="1">
      <alignment horizontal="right"/>
    </xf>
    <xf numFmtId="3" fontId="3" fillId="0" borderId="6" xfId="0" applyNumberFormat="1" applyFont="1" applyBorder="1" applyAlignment="1">
      <alignment horizontal="right"/>
    </xf>
    <xf numFmtId="3" fontId="3" fillId="0" borderId="4" xfId="0" applyNumberFormat="1" applyFont="1" applyBorder="1" applyAlignment="1">
      <alignment horizontal="right"/>
    </xf>
    <xf numFmtId="3" fontId="0" fillId="0" borderId="0" xfId="0" applyNumberFormat="1"/>
    <xf numFmtId="165" fontId="0" fillId="0" borderId="4" xfId="0" applyNumberFormat="1" applyBorder="1"/>
    <xf numFmtId="3" fontId="0" fillId="0" borderId="7" xfId="0" applyNumberFormat="1" applyBorder="1"/>
    <xf numFmtId="164" fontId="2" fillId="0" borderId="7" xfId="0" applyNumberFormat="1" applyFont="1" applyBorder="1"/>
    <xf numFmtId="164" fontId="2" fillId="0" borderId="0" xfId="0" applyNumberFormat="1" applyFont="1"/>
    <xf numFmtId="165" fontId="0" fillId="0" borderId="0" xfId="0" applyNumberFormat="1"/>
    <xf numFmtId="0" fontId="2" fillId="0" borderId="4" xfId="0" applyFont="1" applyBorder="1"/>
    <xf numFmtId="166" fontId="3" fillId="0" borderId="4" xfId="0" applyNumberFormat="1" applyFont="1" applyBorder="1" applyAlignment="1">
      <alignment horizontal="right"/>
    </xf>
    <xf numFmtId="16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3" fontId="2" fillId="2" borderId="14" xfId="0" applyNumberFormat="1" applyFont="1" applyFill="1" applyBorder="1" applyAlignment="1">
      <alignment horizontal="center" vertical="center" wrapText="1"/>
    </xf>
    <xf numFmtId="0" fontId="5" fillId="0" borderId="0" xfId="2" applyFont="1" applyAlignment="1">
      <alignment horizontal="centerContinuous" wrapText="1"/>
    </xf>
    <xf numFmtId="0" fontId="5" fillId="0" borderId="0" xfId="2" applyFont="1" applyAlignment="1">
      <alignment wrapText="1"/>
    </xf>
    <xf numFmtId="0" fontId="4" fillId="0" borderId="0" xfId="2" applyAlignment="1">
      <alignment wrapText="1"/>
    </xf>
    <xf numFmtId="0" fontId="6" fillId="0" borderId="0" xfId="2" applyFont="1" applyAlignment="1">
      <alignment horizontal="centerContinuous" wrapText="1"/>
    </xf>
    <xf numFmtId="0" fontId="7" fillId="0" borderId="0" xfId="2" applyFont="1" applyAlignment="1">
      <alignment horizontal="centerContinuous" wrapText="1"/>
    </xf>
    <xf numFmtId="0" fontId="8" fillId="0" borderId="0" xfId="2" applyFont="1" applyAlignment="1">
      <alignment wrapText="1"/>
    </xf>
    <xf numFmtId="0" fontId="4" fillId="0" borderId="0" xfId="2"/>
    <xf numFmtId="164"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0" borderId="16" xfId="0" applyFont="1" applyBorder="1"/>
    <xf numFmtId="3" fontId="3" fillId="0" borderId="16" xfId="0" applyNumberFormat="1" applyFont="1" applyBorder="1" applyAlignment="1">
      <alignment horizontal="right"/>
    </xf>
    <xf numFmtId="3" fontId="2" fillId="2" borderId="17" xfId="0" applyNumberFormat="1" applyFont="1" applyFill="1" applyBorder="1" applyAlignment="1">
      <alignment horizontal="center" vertical="center" wrapText="1"/>
    </xf>
    <xf numFmtId="3" fontId="2" fillId="2" borderId="18" xfId="0" applyNumberFormat="1" applyFont="1" applyFill="1" applyBorder="1" applyAlignment="1">
      <alignment horizontal="center" vertical="center" wrapText="1"/>
    </xf>
    <xf numFmtId="3" fontId="2" fillId="2" borderId="19" xfId="0" applyNumberFormat="1" applyFont="1" applyFill="1" applyBorder="1" applyAlignment="1">
      <alignment horizontal="center" vertical="center" wrapText="1"/>
    </xf>
    <xf numFmtId="3" fontId="2" fillId="2" borderId="20" xfId="0" applyNumberFormat="1" applyFont="1" applyFill="1" applyBorder="1" applyAlignment="1">
      <alignment horizontal="center" vertical="center" wrapText="1"/>
    </xf>
    <xf numFmtId="164" fontId="2" fillId="0" borderId="16" xfId="0" applyNumberFormat="1" applyFont="1" applyBorder="1"/>
    <xf numFmtId="3" fontId="0" fillId="0" borderId="16" xfId="0" applyNumberFormat="1" applyBorder="1"/>
    <xf numFmtId="3" fontId="3" fillId="0" borderId="13" xfId="0" applyNumberFormat="1" applyFont="1" applyBorder="1" applyAlignment="1">
      <alignment horizontal="right"/>
    </xf>
    <xf numFmtId="3" fontId="3" fillId="0" borderId="21" xfId="0" applyNumberFormat="1" applyFont="1" applyBorder="1" applyAlignment="1">
      <alignment horizontal="right"/>
    </xf>
    <xf numFmtId="3" fontId="3" fillId="0" borderId="22" xfId="0" applyNumberFormat="1" applyFont="1" applyBorder="1" applyAlignment="1">
      <alignment horizontal="right"/>
    </xf>
    <xf numFmtId="164" fontId="2" fillId="2" borderId="25" xfId="0" applyNumberFormat="1" applyFont="1" applyFill="1" applyBorder="1" applyAlignment="1">
      <alignment horizontal="left" vertical="center" wrapText="1"/>
    </xf>
    <xf numFmtId="3" fontId="12" fillId="0" borderId="13" xfId="0" applyNumberFormat="1" applyFont="1" applyBorder="1" applyAlignment="1">
      <alignment horizontal="right"/>
    </xf>
    <xf numFmtId="3" fontId="12" fillId="0" borderId="21" xfId="0" applyNumberFormat="1" applyFont="1" applyBorder="1" applyAlignment="1">
      <alignment horizontal="right"/>
    </xf>
    <xf numFmtId="3" fontId="12" fillId="0" borderId="5" xfId="0" applyNumberFormat="1" applyFont="1" applyBorder="1" applyAlignment="1">
      <alignment horizontal="right"/>
    </xf>
    <xf numFmtId="3" fontId="12" fillId="0" borderId="6" xfId="0" applyNumberFormat="1" applyFont="1" applyBorder="1" applyAlignment="1">
      <alignment horizontal="right"/>
    </xf>
    <xf numFmtId="3" fontId="0" fillId="0" borderId="1" xfId="0" applyNumberFormat="1" applyBorder="1"/>
    <xf numFmtId="164" fontId="2" fillId="0" borderId="1" xfId="0" applyNumberFormat="1" applyFont="1" applyBorder="1"/>
    <xf numFmtId="3" fontId="3" fillId="0" borderId="7" xfId="0" applyNumberFormat="1" applyFont="1" applyBorder="1" applyAlignment="1">
      <alignment horizontal="right"/>
    </xf>
    <xf numFmtId="164" fontId="2" fillId="0" borderId="32" xfId="0" applyNumberFormat="1" applyFont="1" applyBorder="1"/>
    <xf numFmtId="165" fontId="0" fillId="0" borderId="16" xfId="0" applyNumberFormat="1" applyBorder="1"/>
    <xf numFmtId="165" fontId="0" fillId="0" borderId="7" xfId="0" applyNumberFormat="1" applyBorder="1"/>
    <xf numFmtId="165" fontId="0" fillId="0" borderId="32" xfId="0" applyNumberFormat="1" applyBorder="1"/>
    <xf numFmtId="165" fontId="0" fillId="0" borderId="34" xfId="0" applyNumberFormat="1" applyBorder="1"/>
    <xf numFmtId="165" fontId="0" fillId="0" borderId="35" xfId="0" applyNumberFormat="1" applyBorder="1"/>
    <xf numFmtId="165" fontId="0" fillId="0" borderId="36" xfId="0" applyNumberFormat="1" applyBorder="1"/>
    <xf numFmtId="165" fontId="0" fillId="0" borderId="30" xfId="0" applyNumberFormat="1" applyBorder="1"/>
    <xf numFmtId="165" fontId="0" fillId="0" borderId="23" xfId="0" applyNumberFormat="1" applyBorder="1"/>
    <xf numFmtId="165" fontId="0" fillId="0" borderId="31" xfId="0" applyNumberFormat="1" applyBorder="1"/>
    <xf numFmtId="165" fontId="0" fillId="0" borderId="1" xfId="0" applyNumberFormat="1" applyBorder="1"/>
    <xf numFmtId="3" fontId="3" fillId="0" borderId="0" xfId="0" applyNumberFormat="1" applyFont="1" applyAlignment="1">
      <alignment horizontal="right"/>
    </xf>
    <xf numFmtId="3" fontId="3" fillId="0" borderId="32" xfId="0" applyNumberFormat="1" applyFont="1" applyBorder="1" applyAlignment="1">
      <alignment horizontal="right"/>
    </xf>
    <xf numFmtId="3" fontId="3" fillId="0" borderId="37" xfId="0" applyNumberFormat="1" applyFont="1" applyBorder="1" applyAlignment="1">
      <alignment horizontal="right"/>
    </xf>
    <xf numFmtId="3" fontId="3" fillId="0" borderId="38" xfId="0" applyNumberFormat="1" applyFont="1" applyBorder="1" applyAlignment="1">
      <alignment horizontal="right"/>
    </xf>
    <xf numFmtId="3" fontId="3" fillId="0" borderId="1" xfId="0" applyNumberFormat="1" applyFont="1" applyBorder="1" applyAlignment="1">
      <alignment horizontal="right"/>
    </xf>
    <xf numFmtId="3" fontId="3" fillId="0" borderId="2" xfId="0" applyNumberFormat="1" applyFont="1" applyBorder="1" applyAlignment="1">
      <alignment horizontal="right"/>
    </xf>
    <xf numFmtId="3" fontId="3" fillId="0" borderId="3" xfId="0" applyNumberFormat="1" applyFont="1" applyBorder="1" applyAlignment="1">
      <alignment horizontal="right"/>
    </xf>
    <xf numFmtId="3" fontId="3" fillId="0" borderId="8" xfId="0" applyNumberFormat="1" applyFont="1" applyBorder="1" applyAlignment="1">
      <alignment horizontal="right"/>
    </xf>
    <xf numFmtId="3" fontId="3" fillId="0" borderId="9" xfId="0" applyNumberFormat="1" applyFont="1" applyBorder="1" applyAlignment="1">
      <alignment horizontal="right"/>
    </xf>
    <xf numFmtId="0" fontId="2" fillId="0" borderId="29" xfId="0" applyFont="1" applyBorder="1"/>
    <xf numFmtId="3" fontId="2" fillId="2" borderId="34" xfId="0" applyNumberFormat="1" applyFont="1" applyFill="1" applyBorder="1" applyAlignment="1">
      <alignment horizontal="center" vertical="center" wrapText="1"/>
    </xf>
    <xf numFmtId="3" fontId="3" fillId="0" borderId="35" xfId="0" applyNumberFormat="1" applyFont="1" applyBorder="1" applyAlignment="1">
      <alignment horizontal="right"/>
    </xf>
    <xf numFmtId="3" fontId="3" fillId="0" borderId="39" xfId="0" applyNumberFormat="1" applyFont="1" applyBorder="1" applyAlignment="1">
      <alignment horizontal="right"/>
    </xf>
    <xf numFmtId="3" fontId="2" fillId="2" borderId="40" xfId="0" applyNumberFormat="1" applyFont="1" applyFill="1" applyBorder="1" applyAlignment="1">
      <alignment horizontal="center" vertical="center" wrapText="1"/>
    </xf>
    <xf numFmtId="3" fontId="2" fillId="2" borderId="28" xfId="0" applyNumberFormat="1" applyFont="1" applyFill="1" applyBorder="1" applyAlignment="1">
      <alignment horizontal="center" vertical="center" wrapText="1"/>
    </xf>
    <xf numFmtId="164" fontId="2" fillId="2" borderId="17" xfId="0" applyNumberFormat="1" applyFont="1" applyFill="1" applyBorder="1" applyAlignment="1">
      <alignment horizontal="center" vertical="center" wrapText="1"/>
    </xf>
    <xf numFmtId="10" fontId="0" fillId="0" borderId="8" xfId="0" applyNumberFormat="1" applyBorder="1" applyAlignment="1">
      <alignment wrapText="1"/>
    </xf>
    <xf numFmtId="164" fontId="2" fillId="2" borderId="33" xfId="0" applyNumberFormat="1" applyFont="1" applyFill="1" applyBorder="1" applyAlignment="1">
      <alignment horizontal="left" vertical="center" wrapText="1"/>
    </xf>
    <xf numFmtId="164" fontId="2" fillId="2" borderId="29" xfId="0" applyNumberFormat="1" applyFont="1" applyFill="1" applyBorder="1" applyAlignment="1">
      <alignment horizontal="left" vertical="center" wrapText="1"/>
    </xf>
    <xf numFmtId="3" fontId="3" fillId="0" borderId="27" xfId="0" applyNumberFormat="1" applyFont="1" applyBorder="1" applyAlignment="1">
      <alignment horizontal="right"/>
    </xf>
    <xf numFmtId="3" fontId="2" fillId="2" borderId="26" xfId="0" applyNumberFormat="1" applyFont="1" applyFill="1" applyBorder="1" applyAlignment="1">
      <alignment horizontal="center" vertical="center" wrapText="1"/>
    </xf>
    <xf numFmtId="164" fontId="2" fillId="2" borderId="14" xfId="0" applyNumberFormat="1" applyFont="1" applyFill="1" applyBorder="1" applyAlignment="1">
      <alignment horizontal="center" vertical="center" wrapText="1"/>
    </xf>
    <xf numFmtId="3" fontId="2" fillId="2" borderId="42" xfId="0" applyNumberFormat="1" applyFont="1" applyFill="1" applyBorder="1" applyAlignment="1">
      <alignment horizontal="center" vertical="center" wrapText="1"/>
    </xf>
    <xf numFmtId="10" fontId="0" fillId="0" borderId="36" xfId="0" applyNumberFormat="1" applyBorder="1" applyAlignment="1">
      <alignment wrapText="1"/>
    </xf>
    <xf numFmtId="166" fontId="0" fillId="0" borderId="1" xfId="0" applyNumberFormat="1" applyBorder="1"/>
    <xf numFmtId="166" fontId="0" fillId="0" borderId="4" xfId="0" applyNumberFormat="1" applyBorder="1"/>
    <xf numFmtId="10" fontId="0" fillId="0" borderId="7" xfId="0" applyNumberFormat="1" applyBorder="1" applyAlignment="1">
      <alignment wrapText="1"/>
    </xf>
    <xf numFmtId="166" fontId="0" fillId="0" borderId="16" xfId="0" applyNumberFormat="1" applyBorder="1"/>
    <xf numFmtId="10" fontId="0" fillId="0" borderId="31" xfId="0" applyNumberFormat="1" applyBorder="1" applyAlignment="1">
      <alignment wrapText="1"/>
    </xf>
    <xf numFmtId="0" fontId="0" fillId="0" borderId="22" xfId="0" applyBorder="1"/>
    <xf numFmtId="0" fontId="2" fillId="0" borderId="1" xfId="0" applyFont="1" applyBorder="1"/>
    <xf numFmtId="0" fontId="2" fillId="0" borderId="27" xfId="0" applyFont="1" applyBorder="1"/>
    <xf numFmtId="0" fontId="2" fillId="0" borderId="32" xfId="0" applyFont="1" applyBorder="1"/>
    <xf numFmtId="167" fontId="4" fillId="0" borderId="7" xfId="10" applyNumberFormat="1" applyBorder="1"/>
    <xf numFmtId="167" fontId="4" fillId="0" borderId="4" xfId="10" applyNumberFormat="1" applyBorder="1"/>
    <xf numFmtId="167" fontId="4" fillId="0" borderId="16" xfId="10" applyNumberFormat="1" applyBorder="1"/>
    <xf numFmtId="10" fontId="0" fillId="0" borderId="7" xfId="1055" applyNumberFormat="1" applyFont="1" applyBorder="1" applyAlignment="1">
      <alignment wrapText="1"/>
    </xf>
    <xf numFmtId="3" fontId="2" fillId="2" borderId="30" xfId="0" applyNumberFormat="1" applyFont="1" applyFill="1" applyBorder="1" applyAlignment="1">
      <alignment horizontal="center" vertical="center" wrapText="1"/>
    </xf>
    <xf numFmtId="3" fontId="3" fillId="0" borderId="23" xfId="0" applyNumberFormat="1" applyFont="1" applyBorder="1" applyAlignment="1">
      <alignment horizontal="right"/>
    </xf>
    <xf numFmtId="3" fontId="3" fillId="0" borderId="41" xfId="0" applyNumberFormat="1" applyFont="1" applyBorder="1" applyAlignment="1">
      <alignment horizontal="right"/>
    </xf>
    <xf numFmtId="3" fontId="3" fillId="0" borderId="47" xfId="0" applyNumberFormat="1" applyFont="1" applyBorder="1" applyAlignment="1">
      <alignment horizontal="right"/>
    </xf>
    <xf numFmtId="164" fontId="2" fillId="0" borderId="27" xfId="0" applyNumberFormat="1" applyFont="1" applyBorder="1"/>
    <xf numFmtId="3" fontId="3" fillId="0" borderId="29" xfId="0" applyNumberFormat="1" applyFont="1" applyBorder="1" applyAlignment="1">
      <alignment horizontal="right"/>
    </xf>
    <xf numFmtId="3" fontId="3" fillId="0" borderId="33" xfId="0" applyNumberFormat="1" applyFont="1" applyBorder="1" applyAlignment="1">
      <alignment horizontal="right"/>
    </xf>
    <xf numFmtId="3" fontId="3" fillId="0" borderId="25" xfId="0" applyNumberFormat="1" applyFont="1" applyBorder="1" applyAlignment="1">
      <alignment horizontal="right"/>
    </xf>
    <xf numFmtId="3" fontId="3" fillId="0" borderId="24" xfId="0" applyNumberFormat="1" applyFont="1" applyBorder="1" applyAlignment="1">
      <alignment horizontal="right"/>
    </xf>
    <xf numFmtId="3" fontId="3" fillId="0" borderId="48" xfId="0" applyNumberFormat="1" applyFont="1" applyBorder="1" applyAlignment="1">
      <alignment horizontal="right"/>
    </xf>
    <xf numFmtId="3" fontId="3" fillId="0" borderId="46" xfId="0" applyNumberFormat="1" applyFont="1" applyBorder="1" applyAlignment="1">
      <alignment horizontal="right"/>
    </xf>
    <xf numFmtId="164" fontId="2" fillId="0" borderId="22" xfId="0" applyNumberFormat="1" applyFont="1" applyBorder="1"/>
    <xf numFmtId="3" fontId="3" fillId="0" borderId="30" xfId="0" applyNumberFormat="1" applyFont="1" applyBorder="1" applyAlignment="1">
      <alignment horizontal="right"/>
    </xf>
    <xf numFmtId="3" fontId="3" fillId="0" borderId="34" xfId="0" applyNumberFormat="1" applyFont="1" applyBorder="1" applyAlignment="1">
      <alignment horizontal="right"/>
    </xf>
    <xf numFmtId="3" fontId="3" fillId="0" borderId="43" xfId="0" applyNumberFormat="1" applyFont="1" applyBorder="1" applyAlignment="1">
      <alignment horizontal="right"/>
    </xf>
    <xf numFmtId="3" fontId="0" fillId="0" borderId="22" xfId="0" applyNumberFormat="1" applyBorder="1"/>
    <xf numFmtId="164" fontId="2" fillId="0" borderId="29" xfId="0" applyNumberFormat="1" applyFont="1" applyBorder="1"/>
    <xf numFmtId="164" fontId="2" fillId="0" borderId="33" xfId="0" applyNumberFormat="1" applyFont="1" applyBorder="1"/>
    <xf numFmtId="164" fontId="2" fillId="0" borderId="25" xfId="0" applyNumberFormat="1" applyFont="1" applyBorder="1"/>
    <xf numFmtId="167" fontId="4" fillId="0" borderId="0" xfId="10" applyNumberFormat="1"/>
    <xf numFmtId="167" fontId="0" fillId="0" borderId="0" xfId="0" applyNumberFormat="1"/>
    <xf numFmtId="3" fontId="2" fillId="3" borderId="34" xfId="0" applyNumberFormat="1" applyFont="1" applyFill="1" applyBorder="1" applyAlignment="1">
      <alignment horizontal="center" vertical="center" wrapText="1"/>
    </xf>
    <xf numFmtId="165" fontId="0" fillId="0" borderId="45" xfId="0" applyNumberFormat="1" applyBorder="1"/>
    <xf numFmtId="165" fontId="0" fillId="0" borderId="46" xfId="0" applyNumberFormat="1" applyBorder="1"/>
    <xf numFmtId="3" fontId="12" fillId="0" borderId="16" xfId="0" applyNumberFormat="1" applyFont="1" applyBorder="1" applyAlignment="1">
      <alignment horizontal="right"/>
    </xf>
    <xf numFmtId="3" fontId="12" fillId="0" borderId="4" xfId="0" applyNumberFormat="1" applyFont="1" applyBorder="1" applyAlignment="1">
      <alignment horizontal="right"/>
    </xf>
    <xf numFmtId="167" fontId="0" fillId="0" borderId="4" xfId="10" applyNumberFormat="1" applyFont="1" applyBorder="1" applyAlignment="1">
      <alignment horizontal="right"/>
    </xf>
    <xf numFmtId="0" fontId="14" fillId="0" borderId="0" xfId="0" applyFont="1"/>
    <xf numFmtId="165" fontId="14" fillId="0" borderId="0" xfId="1055" applyNumberFormat="1" applyFont="1"/>
    <xf numFmtId="167" fontId="4" fillId="0" borderId="1" xfId="10" applyNumberFormat="1" applyBorder="1"/>
    <xf numFmtId="167" fontId="0" fillId="0" borderId="0" xfId="10" applyNumberFormat="1" applyFont="1"/>
    <xf numFmtId="167" fontId="0" fillId="0" borderId="1" xfId="10" applyNumberFormat="1" applyFont="1" applyBorder="1"/>
    <xf numFmtId="0" fontId="2" fillId="0" borderId="49" xfId="0" applyFont="1" applyBorder="1"/>
    <xf numFmtId="164" fontId="2" fillId="0" borderId="50" xfId="0" applyNumberFormat="1" applyFont="1" applyBorder="1"/>
    <xf numFmtId="164" fontId="2" fillId="0" borderId="51" xfId="0" applyNumberFormat="1" applyFont="1" applyBorder="1"/>
    <xf numFmtId="167" fontId="3" fillId="0" borderId="35" xfId="1059" applyNumberFormat="1" applyFont="1" applyBorder="1" applyAlignment="1">
      <alignment horizontal="right"/>
    </xf>
    <xf numFmtId="167" fontId="3" fillId="0" borderId="36" xfId="1059" applyNumberFormat="1" applyFont="1" applyBorder="1" applyAlignment="1">
      <alignment horizontal="right"/>
    </xf>
    <xf numFmtId="167" fontId="3" fillId="0" borderId="1" xfId="1059" applyNumberFormat="1" applyFont="1" applyBorder="1" applyAlignment="1">
      <alignment horizontal="right"/>
    </xf>
    <xf numFmtId="167" fontId="3" fillId="0" borderId="4" xfId="1059" applyNumberFormat="1" applyFont="1" applyBorder="1" applyAlignment="1">
      <alignment horizontal="right"/>
    </xf>
    <xf numFmtId="167" fontId="3" fillId="0" borderId="7" xfId="1059" applyNumberFormat="1" applyFont="1" applyBorder="1" applyAlignment="1">
      <alignment horizontal="right"/>
    </xf>
    <xf numFmtId="167" fontId="0" fillId="0" borderId="4" xfId="1059" applyNumberFormat="1" applyFont="1" applyBorder="1"/>
    <xf numFmtId="167" fontId="3" fillId="0" borderId="1" xfId="1059" applyNumberFormat="1" applyFont="1" applyBorder="1" applyAlignment="1"/>
    <xf numFmtId="167" fontId="3" fillId="0" borderId="34" xfId="1059" applyNumberFormat="1" applyFont="1" applyBorder="1" applyAlignment="1"/>
    <xf numFmtId="167" fontId="3" fillId="0" borderId="4" xfId="1059" applyNumberFormat="1" applyFont="1" applyBorder="1" applyAlignment="1"/>
    <xf numFmtId="167" fontId="3" fillId="0" borderId="35" xfId="1059" applyNumberFormat="1" applyFont="1" applyBorder="1" applyAlignment="1"/>
    <xf numFmtId="167" fontId="15" fillId="0" borderId="27" xfId="1059" applyNumberFormat="1" applyFont="1" applyBorder="1" applyAlignment="1"/>
    <xf numFmtId="167" fontId="3" fillId="0" borderId="7" xfId="1059" applyNumberFormat="1" applyFont="1" applyBorder="1" applyAlignment="1"/>
    <xf numFmtId="167" fontId="3" fillId="0" borderId="36" xfId="1059" applyNumberFormat="1" applyFont="1" applyBorder="1" applyAlignment="1"/>
    <xf numFmtId="167" fontId="15" fillId="0" borderId="4" xfId="1059" applyNumberFormat="1" applyFont="1" applyBorder="1" applyAlignment="1"/>
    <xf numFmtId="167" fontId="15" fillId="0" borderId="0" xfId="1059" applyNumberFormat="1" applyFont="1" applyAlignment="1"/>
    <xf numFmtId="167" fontId="15" fillId="0" borderId="36" xfId="1059" applyNumberFormat="1" applyFont="1" applyBorder="1" applyAlignment="1"/>
    <xf numFmtId="167" fontId="3" fillId="0" borderId="5" xfId="1059" applyNumberFormat="1" applyFont="1" applyBorder="1" applyAlignment="1">
      <alignment horizontal="right"/>
    </xf>
    <xf numFmtId="167" fontId="3" fillId="0" borderId="6" xfId="1059" applyNumberFormat="1" applyFont="1" applyBorder="1" applyAlignment="1">
      <alignment horizontal="right"/>
    </xf>
    <xf numFmtId="167" fontId="3" fillId="0" borderId="32" xfId="1059" applyNumberFormat="1" applyFont="1" applyBorder="1" applyAlignment="1">
      <alignment horizontal="right"/>
    </xf>
    <xf numFmtId="167" fontId="3" fillId="0" borderId="37" xfId="1059" applyNumberFormat="1" applyFont="1" applyBorder="1" applyAlignment="1">
      <alignment horizontal="right"/>
    </xf>
    <xf numFmtId="167" fontId="3" fillId="0" borderId="38" xfId="1059" applyNumberFormat="1" applyFont="1" applyBorder="1" applyAlignment="1">
      <alignment horizontal="right"/>
    </xf>
    <xf numFmtId="167" fontId="3" fillId="0" borderId="2" xfId="1059" applyNumberFormat="1" applyFont="1" applyBorder="1" applyAlignment="1">
      <alignment horizontal="right"/>
    </xf>
    <xf numFmtId="167" fontId="3" fillId="0" borderId="3" xfId="1059" applyNumberFormat="1" applyFont="1" applyBorder="1" applyAlignment="1">
      <alignment horizontal="right"/>
    </xf>
    <xf numFmtId="167" fontId="3" fillId="0" borderId="8" xfId="1059" applyNumberFormat="1" applyFont="1" applyBorder="1" applyAlignment="1">
      <alignment horizontal="right"/>
    </xf>
    <xf numFmtId="167" fontId="3" fillId="0" borderId="9" xfId="1059" applyNumberFormat="1" applyFont="1" applyBorder="1" applyAlignment="1">
      <alignment horizontal="right"/>
    </xf>
    <xf numFmtId="167" fontId="3" fillId="0" borderId="16" xfId="1059" applyNumberFormat="1" applyFont="1" applyBorder="1" applyAlignment="1">
      <alignment horizontal="right"/>
    </xf>
    <xf numFmtId="167" fontId="3" fillId="0" borderId="13" xfId="1059" applyNumberFormat="1" applyFont="1" applyBorder="1" applyAlignment="1">
      <alignment horizontal="right"/>
    </xf>
    <xf numFmtId="167" fontId="3" fillId="0" borderId="21" xfId="1059" applyNumberFormat="1" applyFont="1" applyBorder="1" applyAlignment="1">
      <alignment horizontal="right"/>
    </xf>
    <xf numFmtId="167" fontId="3" fillId="0" borderId="17" xfId="1059" applyNumberFormat="1" applyFont="1" applyBorder="1" applyAlignment="1">
      <alignment horizontal="right"/>
    </xf>
    <xf numFmtId="164" fontId="2" fillId="0" borderId="52" xfId="0" applyNumberFormat="1" applyFont="1" applyBorder="1"/>
    <xf numFmtId="167" fontId="15" fillId="0" borderId="34" xfId="1059" applyNumberFormat="1" applyFont="1" applyBorder="1" applyAlignment="1"/>
    <xf numFmtId="167" fontId="15" fillId="0" borderId="35" xfId="1059" applyNumberFormat="1" applyFont="1" applyBorder="1" applyAlignment="1"/>
    <xf numFmtId="167" fontId="15" fillId="0" borderId="1" xfId="1059" applyNumberFormat="1" applyFont="1" applyBorder="1" applyAlignment="1"/>
    <xf numFmtId="167" fontId="0" fillId="0" borderId="7" xfId="1059" applyNumberFormat="1" applyFont="1" applyBorder="1"/>
    <xf numFmtId="165" fontId="0" fillId="0" borderId="22" xfId="0" applyNumberFormat="1" applyBorder="1"/>
    <xf numFmtId="3" fontId="12" fillId="0" borderId="1" xfId="0" applyNumberFormat="1" applyFont="1" applyBorder="1" applyAlignment="1">
      <alignment horizontal="right"/>
    </xf>
    <xf numFmtId="0" fontId="15" fillId="0" borderId="0" xfId="0" applyFont="1"/>
    <xf numFmtId="165" fontId="15" fillId="0" borderId="4" xfId="0" applyNumberFormat="1" applyFont="1" applyBorder="1"/>
    <xf numFmtId="168" fontId="15" fillId="0" borderId="0" xfId="0" applyNumberFormat="1" applyFont="1"/>
    <xf numFmtId="165" fontId="15" fillId="0" borderId="32" xfId="0" applyNumberFormat="1" applyFont="1" applyBorder="1"/>
    <xf numFmtId="166" fontId="3" fillId="0" borderId="35" xfId="0" applyNumberFormat="1" applyFont="1" applyBorder="1" applyAlignment="1">
      <alignment horizontal="right"/>
    </xf>
    <xf numFmtId="166" fontId="3" fillId="0" borderId="1" xfId="0" applyNumberFormat="1" applyFont="1" applyBorder="1" applyAlignment="1">
      <alignment horizontal="right"/>
    </xf>
    <xf numFmtId="165" fontId="15" fillId="0" borderId="7" xfId="0" applyNumberFormat="1" applyFont="1" applyBorder="1"/>
    <xf numFmtId="0" fontId="2" fillId="0" borderId="16" xfId="0" applyFont="1" applyBorder="1" applyAlignment="1">
      <alignment horizontal="right"/>
    </xf>
    <xf numFmtId="165" fontId="15" fillId="0" borderId="0" xfId="0" applyNumberFormat="1" applyFont="1"/>
    <xf numFmtId="167" fontId="0" fillId="0" borderId="16" xfId="1059" applyNumberFormat="1" applyFont="1" applyBorder="1"/>
    <xf numFmtId="167" fontId="0" fillId="0" borderId="4" xfId="0" applyNumberFormat="1" applyBorder="1"/>
    <xf numFmtId="167" fontId="0" fillId="0" borderId="4" xfId="10" applyNumberFormat="1" applyFont="1" applyBorder="1"/>
    <xf numFmtId="166" fontId="3" fillId="0" borderId="16" xfId="0" applyNumberFormat="1" applyFont="1" applyBorder="1" applyAlignment="1">
      <alignment horizontal="right"/>
    </xf>
    <xf numFmtId="166" fontId="3" fillId="0" borderId="46" xfId="0" applyNumberFormat="1" applyFont="1" applyBorder="1" applyAlignment="1">
      <alignment horizontal="right"/>
    </xf>
    <xf numFmtId="1" fontId="2" fillId="2" borderId="29" xfId="0" applyNumberFormat="1" applyFont="1" applyFill="1" applyBorder="1" applyAlignment="1">
      <alignment horizontal="left" vertical="center"/>
    </xf>
    <xf numFmtId="0" fontId="2" fillId="0" borderId="22" xfId="0" applyFont="1" applyBorder="1"/>
    <xf numFmtId="3" fontId="12" fillId="0" borderId="7" xfId="0" applyNumberFormat="1" applyFont="1" applyBorder="1" applyAlignment="1">
      <alignment horizontal="right"/>
    </xf>
    <xf numFmtId="3" fontId="12" fillId="0" borderId="8" xfId="0" applyNumberFormat="1" applyFont="1" applyBorder="1" applyAlignment="1">
      <alignment horizontal="right"/>
    </xf>
    <xf numFmtId="3" fontId="12" fillId="0" borderId="9" xfId="0" applyNumberFormat="1" applyFont="1" applyBorder="1" applyAlignment="1">
      <alignment horizontal="right"/>
    </xf>
    <xf numFmtId="167" fontId="17" fillId="0" borderId="4" xfId="10" applyNumberFormat="1" applyFont="1" applyBorder="1" applyAlignment="1">
      <alignment horizontal="right"/>
    </xf>
    <xf numFmtId="3" fontId="12" fillId="0" borderId="0" xfId="0" applyNumberFormat="1" applyFont="1" applyAlignment="1">
      <alignment horizontal="right"/>
    </xf>
    <xf numFmtId="3" fontId="12" fillId="0" borderId="23" xfId="0" applyNumberFormat="1" applyFont="1" applyBorder="1" applyAlignment="1">
      <alignment horizontal="right"/>
    </xf>
    <xf numFmtId="3" fontId="12" fillId="0" borderId="32" xfId="0" applyNumberFormat="1" applyFont="1" applyBorder="1" applyAlignment="1">
      <alignment horizontal="right"/>
    </xf>
    <xf numFmtId="3" fontId="12" fillId="0" borderId="41" xfId="0" applyNumberFormat="1" applyFont="1" applyBorder="1" applyAlignment="1">
      <alignment horizontal="right"/>
    </xf>
    <xf numFmtId="3" fontId="12" fillId="0" borderId="22" xfId="0" applyNumberFormat="1" applyFont="1" applyBorder="1" applyAlignment="1">
      <alignment horizontal="right"/>
    </xf>
    <xf numFmtId="3" fontId="12" fillId="0" borderId="37" xfId="0" applyNumberFormat="1" applyFont="1" applyBorder="1" applyAlignment="1">
      <alignment horizontal="right"/>
    </xf>
    <xf numFmtId="3" fontId="12" fillId="0" borderId="38" xfId="0" applyNumberFormat="1" applyFont="1" applyBorder="1" applyAlignment="1">
      <alignment horizontal="right"/>
    </xf>
    <xf numFmtId="3" fontId="12" fillId="0" borderId="2" xfId="0" applyNumberFormat="1" applyFont="1" applyBorder="1" applyAlignment="1">
      <alignment horizontal="right"/>
    </xf>
    <xf numFmtId="3" fontId="12" fillId="0" borderId="3" xfId="0" applyNumberFormat="1" applyFont="1" applyBorder="1" applyAlignment="1">
      <alignment horizontal="right"/>
    </xf>
    <xf numFmtId="3" fontId="12" fillId="0" borderId="29" xfId="0" applyNumberFormat="1" applyFont="1" applyBorder="1" applyAlignment="1">
      <alignment horizontal="right"/>
    </xf>
    <xf numFmtId="167" fontId="17" fillId="0" borderId="4" xfId="10" applyNumberFormat="1" applyFont="1" applyFill="1" applyBorder="1"/>
    <xf numFmtId="167" fontId="17" fillId="0" borderId="4" xfId="10" applyNumberFormat="1" applyFont="1" applyBorder="1"/>
    <xf numFmtId="0" fontId="2" fillId="0" borderId="22" xfId="0" applyFont="1" applyBorder="1" applyAlignment="1">
      <alignment horizontal="right"/>
    </xf>
    <xf numFmtId="0" fontId="2" fillId="0" borderId="4" xfId="0" applyFont="1" applyBorder="1" applyAlignment="1">
      <alignment horizontal="right"/>
    </xf>
    <xf numFmtId="0" fontId="2" fillId="0" borderId="54" xfId="0" applyFont="1" applyBorder="1"/>
    <xf numFmtId="0" fontId="18" fillId="0" borderId="0" xfId="0" applyFont="1"/>
    <xf numFmtId="0" fontId="0" fillId="0" borderId="55" xfId="0" applyBorder="1"/>
    <xf numFmtId="166" fontId="0" fillId="0" borderId="55" xfId="0" applyNumberFormat="1" applyBorder="1"/>
    <xf numFmtId="166" fontId="0" fillId="0" borderId="0" xfId="0" applyNumberFormat="1"/>
    <xf numFmtId="164" fontId="19"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3" fontId="19" fillId="2" borderId="2" xfId="0" applyNumberFormat="1" applyFont="1" applyFill="1" applyBorder="1" applyAlignment="1">
      <alignment horizontal="center" vertical="center" wrapText="1"/>
    </xf>
    <xf numFmtId="3" fontId="19" fillId="2" borderId="3" xfId="0" applyNumberFormat="1" applyFont="1" applyFill="1" applyBorder="1" applyAlignment="1">
      <alignment horizontal="center" vertical="center" wrapText="1"/>
    </xf>
    <xf numFmtId="0" fontId="15" fillId="0" borderId="0" xfId="0" applyFont="1" applyAlignment="1">
      <alignment wrapText="1"/>
    </xf>
    <xf numFmtId="3" fontId="19" fillId="3" borderId="1" xfId="0" applyNumberFormat="1" applyFont="1" applyFill="1" applyBorder="1" applyAlignment="1">
      <alignment horizontal="center" vertical="center" wrapText="1"/>
    </xf>
    <xf numFmtId="3" fontId="19" fillId="3" borderId="3" xfId="0" applyNumberFormat="1" applyFont="1" applyFill="1" applyBorder="1" applyAlignment="1">
      <alignment horizontal="center" vertical="center" wrapText="1"/>
    </xf>
    <xf numFmtId="164" fontId="19" fillId="0" borderId="4" xfId="0" applyNumberFormat="1" applyFont="1" applyBorder="1"/>
    <xf numFmtId="3" fontId="15" fillId="0" borderId="0" xfId="0" applyNumberFormat="1" applyFont="1"/>
    <xf numFmtId="3" fontId="15" fillId="0" borderId="4" xfId="0" applyNumberFormat="1" applyFont="1" applyBorder="1"/>
    <xf numFmtId="3" fontId="15" fillId="0" borderId="5" xfId="0" applyNumberFormat="1" applyFont="1" applyBorder="1"/>
    <xf numFmtId="3" fontId="15" fillId="0" borderId="6" xfId="0" applyNumberFormat="1" applyFont="1" applyBorder="1"/>
    <xf numFmtId="164" fontId="19" fillId="0" borderId="16" xfId="0" applyNumberFormat="1" applyFont="1" applyBorder="1"/>
    <xf numFmtId="3" fontId="15" fillId="0" borderId="16" xfId="0" applyNumberFormat="1" applyFont="1" applyBorder="1"/>
    <xf numFmtId="165" fontId="15" fillId="0" borderId="0" xfId="1055" applyNumberFormat="1" applyFont="1"/>
    <xf numFmtId="164" fontId="19" fillId="0" borderId="7" xfId="0" applyNumberFormat="1" applyFont="1" applyBorder="1"/>
    <xf numFmtId="3" fontId="15" fillId="0" borderId="7" xfId="0" applyNumberFormat="1" applyFont="1" applyBorder="1"/>
    <xf numFmtId="3" fontId="15" fillId="0" borderId="8" xfId="0" applyNumberFormat="1" applyFont="1" applyBorder="1"/>
    <xf numFmtId="3" fontId="15" fillId="0" borderId="9" xfId="0" applyNumberFormat="1" applyFont="1" applyBorder="1"/>
    <xf numFmtId="164" fontId="19" fillId="0" borderId="1" xfId="0" applyNumberFormat="1" applyFont="1" applyBorder="1"/>
    <xf numFmtId="3" fontId="15" fillId="0" borderId="1" xfId="0" applyNumberFormat="1" applyFont="1" applyBorder="1"/>
    <xf numFmtId="165" fontId="15" fillId="0" borderId="16" xfId="0" applyNumberFormat="1" applyFont="1" applyBorder="1"/>
    <xf numFmtId="3" fontId="15" fillId="0" borderId="27" xfId="0" applyNumberFormat="1" applyFont="1" applyBorder="1"/>
    <xf numFmtId="3" fontId="15" fillId="0" borderId="23" xfId="0" applyNumberFormat="1" applyFont="1" applyBorder="1"/>
    <xf numFmtId="164" fontId="19" fillId="0" borderId="32" xfId="0" applyNumberFormat="1" applyFont="1" applyBorder="1"/>
    <xf numFmtId="165" fontId="15" fillId="0" borderId="25" xfId="0" applyNumberFormat="1" applyFont="1" applyBorder="1"/>
    <xf numFmtId="165" fontId="15" fillId="0" borderId="1" xfId="0" applyNumberFormat="1" applyFont="1" applyBorder="1"/>
    <xf numFmtId="165" fontId="15" fillId="0" borderId="34" xfId="0" applyNumberFormat="1" applyFont="1" applyBorder="1"/>
    <xf numFmtId="165" fontId="15" fillId="0" borderId="30" xfId="0" applyNumberFormat="1" applyFont="1" applyBorder="1"/>
    <xf numFmtId="165" fontId="15" fillId="0" borderId="29" xfId="0" applyNumberFormat="1" applyFont="1" applyBorder="1"/>
    <xf numFmtId="165" fontId="15" fillId="0" borderId="35" xfId="0" applyNumberFormat="1" applyFont="1" applyBorder="1"/>
    <xf numFmtId="165" fontId="15" fillId="0" borderId="23" xfId="0" applyNumberFormat="1" applyFont="1" applyBorder="1"/>
    <xf numFmtId="165" fontId="15" fillId="0" borderId="33" xfId="0" applyNumberFormat="1" applyFont="1" applyBorder="1"/>
    <xf numFmtId="165" fontId="15" fillId="0" borderId="36" xfId="0" applyNumberFormat="1" applyFont="1" applyBorder="1"/>
    <xf numFmtId="165" fontId="15" fillId="0" borderId="31" xfId="0" applyNumberFormat="1" applyFont="1" applyBorder="1"/>
    <xf numFmtId="164" fontId="19" fillId="0" borderId="25" xfId="0" applyNumberFormat="1" applyFont="1" applyBorder="1"/>
    <xf numFmtId="164" fontId="19" fillId="0" borderId="29" xfId="0" applyNumberFormat="1" applyFont="1" applyBorder="1"/>
    <xf numFmtId="164" fontId="19" fillId="0" borderId="44" xfId="0" applyNumberFormat="1" applyFont="1" applyBorder="1"/>
    <xf numFmtId="3" fontId="15" fillId="0" borderId="32" xfId="0" applyNumberFormat="1" applyFont="1" applyBorder="1"/>
    <xf numFmtId="165" fontId="15" fillId="0" borderId="46" xfId="0" applyNumberFormat="1" applyFont="1" applyBorder="1"/>
    <xf numFmtId="164" fontId="19" fillId="0" borderId="33" xfId="0" applyNumberFormat="1" applyFont="1" applyBorder="1"/>
    <xf numFmtId="3" fontId="15" fillId="0" borderId="30" xfId="0" applyNumberFormat="1" applyFont="1" applyBorder="1"/>
    <xf numFmtId="3" fontId="15" fillId="0" borderId="31" xfId="0" applyNumberFormat="1" applyFont="1" applyBorder="1"/>
    <xf numFmtId="164" fontId="19" fillId="0" borderId="0" xfId="0" applyNumberFormat="1" applyFont="1"/>
    <xf numFmtId="164" fontId="19" fillId="2" borderId="10" xfId="0" applyNumberFormat="1" applyFont="1" applyFill="1" applyBorder="1" applyAlignment="1">
      <alignment horizontal="center" vertical="center" wrapText="1"/>
    </xf>
    <xf numFmtId="3" fontId="19" fillId="2" borderId="10" xfId="0" applyNumberFormat="1" applyFont="1" applyFill="1" applyBorder="1" applyAlignment="1">
      <alignment horizontal="center" vertical="center" wrapText="1"/>
    </xf>
    <xf numFmtId="3" fontId="19" fillId="2" borderId="11" xfId="0" applyNumberFormat="1" applyFont="1" applyFill="1" applyBorder="1" applyAlignment="1">
      <alignment horizontal="center" vertical="center" wrapText="1"/>
    </xf>
    <xf numFmtId="3" fontId="19" fillId="2" borderId="12" xfId="0" applyNumberFormat="1" applyFont="1" applyFill="1" applyBorder="1" applyAlignment="1">
      <alignment horizontal="center" vertical="center" wrapText="1"/>
    </xf>
    <xf numFmtId="3" fontId="19" fillId="2" borderId="19" xfId="0" applyNumberFormat="1" applyFont="1" applyFill="1" applyBorder="1" applyAlignment="1">
      <alignment horizontal="center" vertical="center" wrapText="1"/>
    </xf>
    <xf numFmtId="3" fontId="19" fillId="2" borderId="17" xfId="0" applyNumberFormat="1" applyFont="1" applyFill="1" applyBorder="1" applyAlignment="1">
      <alignment horizontal="center" vertical="center" wrapText="1"/>
    </xf>
    <xf numFmtId="3" fontId="19" fillId="3" borderId="10" xfId="0" applyNumberFormat="1" applyFont="1" applyFill="1" applyBorder="1" applyAlignment="1">
      <alignment horizontal="center" vertical="center" wrapText="1"/>
    </xf>
    <xf numFmtId="3" fontId="19" fillId="3" borderId="12" xfId="0" applyNumberFormat="1" applyFont="1" applyFill="1" applyBorder="1" applyAlignment="1">
      <alignment horizontal="center" vertical="center" wrapText="1"/>
    </xf>
    <xf numFmtId="0" fontId="19" fillId="0" borderId="43" xfId="0" applyFont="1" applyBorder="1"/>
    <xf numFmtId="0" fontId="19" fillId="0" borderId="29" xfId="0" applyFont="1" applyBorder="1"/>
    <xf numFmtId="0" fontId="15" fillId="0" borderId="46" xfId="0" applyFont="1" applyBorder="1"/>
    <xf numFmtId="0" fontId="19" fillId="0" borderId="29" xfId="0" applyFont="1" applyBorder="1" applyAlignment="1">
      <alignment horizontal="right" wrapText="1"/>
    </xf>
    <xf numFmtId="0" fontId="19" fillId="0" borderId="50" xfId="0" applyFont="1" applyBorder="1" applyAlignment="1">
      <alignment horizontal="right" wrapText="1"/>
    </xf>
    <xf numFmtId="0" fontId="19" fillId="0" borderId="53" xfId="0" applyFont="1" applyBorder="1" applyAlignment="1">
      <alignment horizontal="right" wrapText="1"/>
    </xf>
    <xf numFmtId="164" fontId="19" fillId="2" borderId="14" xfId="0" applyNumberFormat="1" applyFont="1" applyFill="1" applyBorder="1" applyAlignment="1">
      <alignment horizontal="center" vertical="center" wrapText="1"/>
    </xf>
    <xf numFmtId="3" fontId="19" fillId="2" borderId="42" xfId="0" applyNumberFormat="1" applyFont="1" applyFill="1" applyBorder="1" applyAlignment="1">
      <alignment horizontal="center" vertical="center" wrapText="1"/>
    </xf>
    <xf numFmtId="3" fontId="19" fillId="2" borderId="26" xfId="0" applyNumberFormat="1" applyFont="1" applyFill="1" applyBorder="1" applyAlignment="1">
      <alignment horizontal="center" vertical="center" wrapText="1"/>
    </xf>
    <xf numFmtId="1" fontId="19" fillId="2" borderId="43" xfId="0" applyNumberFormat="1" applyFont="1" applyFill="1" applyBorder="1" applyAlignment="1">
      <alignment horizontal="left" vertical="center"/>
    </xf>
    <xf numFmtId="166" fontId="15" fillId="0" borderId="4" xfId="0" applyNumberFormat="1" applyFont="1" applyBorder="1"/>
    <xf numFmtId="164" fontId="19" fillId="2" borderId="29" xfId="0" applyNumberFormat="1" applyFont="1" applyFill="1" applyBorder="1" applyAlignment="1">
      <alignment horizontal="left" vertical="center" wrapText="1"/>
    </xf>
    <xf numFmtId="10" fontId="15" fillId="0" borderId="32" xfId="0" applyNumberFormat="1" applyFont="1" applyBorder="1" applyAlignment="1">
      <alignment wrapText="1"/>
    </xf>
    <xf numFmtId="10" fontId="15" fillId="0" borderId="45" xfId="0" applyNumberFormat="1" applyFont="1" applyBorder="1" applyAlignment="1">
      <alignment wrapText="1"/>
    </xf>
    <xf numFmtId="164" fontId="19" fillId="2" borderId="33" xfId="0" applyNumberFormat="1" applyFont="1" applyFill="1" applyBorder="1" applyAlignment="1">
      <alignment wrapText="1"/>
    </xf>
    <xf numFmtId="10" fontId="15" fillId="0" borderId="7" xfId="1055" applyNumberFormat="1" applyFont="1" applyBorder="1"/>
    <xf numFmtId="10" fontId="15" fillId="0" borderId="36" xfId="1055" applyNumberFormat="1" applyFont="1" applyBorder="1"/>
    <xf numFmtId="164" fontId="19" fillId="0" borderId="0" xfId="0" applyNumberFormat="1" applyFont="1" applyAlignment="1">
      <alignment wrapText="1"/>
    </xf>
    <xf numFmtId="10" fontId="15" fillId="0" borderId="0" xfId="1055" applyNumberFormat="1" applyFont="1"/>
    <xf numFmtId="10" fontId="15" fillId="0" borderId="4" xfId="0" applyNumberFormat="1" applyFont="1" applyBorder="1" applyAlignment="1">
      <alignment wrapText="1"/>
    </xf>
    <xf numFmtId="10" fontId="15" fillId="0" borderId="35" xfId="0" applyNumberFormat="1" applyFont="1" applyBorder="1" applyAlignment="1">
      <alignment wrapText="1"/>
    </xf>
    <xf numFmtId="44" fontId="15" fillId="0" borderId="0" xfId="1057" applyFont="1"/>
    <xf numFmtId="168" fontId="0" fillId="0" borderId="0" xfId="0" applyNumberFormat="1"/>
    <xf numFmtId="44" fontId="0" fillId="0" borderId="0" xfId="1057" applyFont="1"/>
    <xf numFmtId="166" fontId="16" fillId="5" borderId="27" xfId="0" applyNumberFormat="1" applyFont="1" applyFill="1" applyBorder="1" applyAlignment="1">
      <alignment horizontal="center" vertical="center"/>
    </xf>
    <xf numFmtId="166" fontId="16" fillId="5" borderId="22" xfId="0" applyNumberFormat="1" applyFont="1" applyFill="1" applyBorder="1" applyAlignment="1">
      <alignment horizontal="center" vertical="center"/>
    </xf>
    <xf numFmtId="0" fontId="21" fillId="4" borderId="10" xfId="0" applyFont="1" applyFill="1" applyBorder="1" applyAlignment="1">
      <alignment horizontal="center" vertical="center"/>
    </xf>
    <xf numFmtId="0" fontId="21" fillId="4" borderId="10" xfId="0" applyFont="1" applyFill="1" applyBorder="1" applyAlignment="1">
      <alignment horizontal="center" vertical="center" wrapText="1"/>
    </xf>
    <xf numFmtId="167" fontId="15" fillId="0" borderId="4" xfId="10" applyNumberFormat="1" applyFont="1" applyBorder="1"/>
    <xf numFmtId="164" fontId="20" fillId="5" borderId="56" xfId="0" applyNumberFormat="1" applyFont="1" applyFill="1" applyBorder="1" applyAlignment="1">
      <alignment horizontal="center" vertical="center"/>
    </xf>
    <xf numFmtId="0" fontId="19" fillId="0" borderId="49" xfId="0" applyFont="1" applyBorder="1" applyAlignment="1">
      <alignment horizontal="right" wrapText="1"/>
    </xf>
    <xf numFmtId="165" fontId="15" fillId="0" borderId="22" xfId="0" applyNumberFormat="1" applyFont="1" applyBorder="1"/>
    <xf numFmtId="166" fontId="3" fillId="0" borderId="7" xfId="0" applyNumberFormat="1" applyFont="1" applyBorder="1" applyAlignment="1">
      <alignment horizontal="right"/>
    </xf>
    <xf numFmtId="167" fontId="3" fillId="0" borderId="16" xfId="1059" applyNumberFormat="1" applyFont="1" applyBorder="1" applyAlignment="1"/>
    <xf numFmtId="167" fontId="4" fillId="0" borderId="23" xfId="10" applyNumberFormat="1" applyBorder="1"/>
    <xf numFmtId="167" fontId="4" fillId="0" borderId="0" xfId="10" applyNumberFormat="1" applyAlignment="1">
      <alignment horizontal="right"/>
    </xf>
    <xf numFmtId="167" fontId="4" fillId="0" borderId="4" xfId="10" applyNumberFormat="1" applyBorder="1" applyAlignment="1">
      <alignment horizontal="right"/>
    </xf>
    <xf numFmtId="164" fontId="20" fillId="5" borderId="55" xfId="0" applyNumberFormat="1" applyFont="1" applyFill="1" applyBorder="1" applyAlignment="1">
      <alignment horizontal="center" vertical="center"/>
    </xf>
    <xf numFmtId="167" fontId="15" fillId="0" borderId="4" xfId="1059" applyNumberFormat="1" applyFont="1" applyBorder="1"/>
    <xf numFmtId="167" fontId="0" fillId="0" borderId="4" xfId="10" applyNumberFormat="1" applyFont="1" applyBorder="1" applyAlignment="1"/>
    <xf numFmtId="167" fontId="17" fillId="0" borderId="0" xfId="10" applyNumberFormat="1" applyFont="1"/>
    <xf numFmtId="166" fontId="15" fillId="0" borderId="0" xfId="1057" applyNumberFormat="1" applyFont="1"/>
    <xf numFmtId="3" fontId="12" fillId="0" borderId="31" xfId="0" applyNumberFormat="1" applyFont="1" applyBorder="1" applyAlignment="1">
      <alignment horizontal="right"/>
    </xf>
    <xf numFmtId="167" fontId="0" fillId="0" borderId="7" xfId="10" applyNumberFormat="1" applyFont="1" applyBorder="1"/>
    <xf numFmtId="167" fontId="4" fillId="0" borderId="22" xfId="10" applyNumberFormat="1" applyBorder="1"/>
    <xf numFmtId="166" fontId="3" fillId="0" borderId="22" xfId="0" applyNumberFormat="1" applyFont="1" applyBorder="1" applyAlignment="1">
      <alignment horizontal="right"/>
    </xf>
    <xf numFmtId="167" fontId="3" fillId="0" borderId="22" xfId="1059" applyNumberFormat="1" applyFont="1" applyBorder="1" applyAlignment="1">
      <alignment horizontal="right"/>
    </xf>
    <xf numFmtId="167" fontId="4" fillId="0" borderId="30" xfId="10" applyNumberFormat="1" applyBorder="1"/>
    <xf numFmtId="165" fontId="0" fillId="0" borderId="0" xfId="1055" applyNumberFormat="1" applyFont="1"/>
    <xf numFmtId="167" fontId="0" fillId="0" borderId="16" xfId="10" applyNumberFormat="1" applyFont="1" applyBorder="1"/>
    <xf numFmtId="1" fontId="19" fillId="2" borderId="43" xfId="0" applyNumberFormat="1" applyFont="1" applyFill="1" applyBorder="1" applyAlignment="1">
      <alignment horizontal="left" vertical="center" wrapText="1"/>
    </xf>
    <xf numFmtId="1" fontId="19" fillId="2" borderId="50" xfId="0" applyNumberFormat="1" applyFont="1" applyFill="1" applyBorder="1" applyAlignment="1">
      <alignment horizontal="left"/>
    </xf>
    <xf numFmtId="166" fontId="15" fillId="0" borderId="1" xfId="0" applyNumberFormat="1" applyFont="1" applyBorder="1"/>
    <xf numFmtId="10" fontId="15" fillId="0" borderId="27" xfId="1055" applyNumberFormat="1" applyFont="1" applyBorder="1"/>
    <xf numFmtId="164" fontId="20" fillId="5" borderId="27" xfId="0" applyNumberFormat="1" applyFont="1" applyFill="1" applyBorder="1" applyAlignment="1">
      <alignment horizontal="center" vertical="center"/>
    </xf>
    <xf numFmtId="166" fontId="3" fillId="0" borderId="4" xfId="0" applyNumberFormat="1" applyFont="1" applyFill="1" applyBorder="1" applyAlignment="1">
      <alignment horizontal="right"/>
    </xf>
    <xf numFmtId="166" fontId="3" fillId="0" borderId="22" xfId="0" applyNumberFormat="1" applyFont="1" applyFill="1" applyBorder="1" applyAlignment="1">
      <alignment horizontal="right"/>
    </xf>
  </cellXfs>
  <cellStyles count="1060">
    <cellStyle name="Comma" xfId="1059" builtinId="3"/>
    <cellStyle name="Comma 10" xfId="3" xr:uid="{00000000-0005-0000-0000-000000000000}"/>
    <cellStyle name="Comma 100" xfId="4" xr:uid="{00000000-0005-0000-0000-000001000000}"/>
    <cellStyle name="Comma 101" xfId="5" xr:uid="{00000000-0005-0000-0000-000002000000}"/>
    <cellStyle name="Comma 102" xfId="6" xr:uid="{00000000-0005-0000-0000-000003000000}"/>
    <cellStyle name="Comma 103" xfId="7" xr:uid="{00000000-0005-0000-0000-000004000000}"/>
    <cellStyle name="Comma 104" xfId="8" xr:uid="{00000000-0005-0000-0000-000005000000}"/>
    <cellStyle name="Comma 11" xfId="9" xr:uid="{00000000-0005-0000-0000-000006000000}"/>
    <cellStyle name="Comma 119" xfId="10" xr:uid="{00000000-0005-0000-0000-000007000000}"/>
    <cellStyle name="Comma 12" xfId="11" xr:uid="{00000000-0005-0000-0000-000008000000}"/>
    <cellStyle name="Comma 120" xfId="12" xr:uid="{00000000-0005-0000-0000-000009000000}"/>
    <cellStyle name="Comma 13" xfId="13" xr:uid="{00000000-0005-0000-0000-00000A000000}"/>
    <cellStyle name="Comma 2" xfId="14" xr:uid="{00000000-0005-0000-0000-00000B000000}"/>
    <cellStyle name="Comma 2 2" xfId="15" xr:uid="{00000000-0005-0000-0000-00000C000000}"/>
    <cellStyle name="Comma 24" xfId="16" xr:uid="{00000000-0005-0000-0000-00000D000000}"/>
    <cellStyle name="Comma 25" xfId="17" xr:uid="{00000000-0005-0000-0000-00000E000000}"/>
    <cellStyle name="Comma 27" xfId="18" xr:uid="{00000000-0005-0000-0000-00000F000000}"/>
    <cellStyle name="Comma 28" xfId="19" xr:uid="{00000000-0005-0000-0000-000010000000}"/>
    <cellStyle name="Comma 29" xfId="20" xr:uid="{00000000-0005-0000-0000-000011000000}"/>
    <cellStyle name="Comma 3" xfId="21" xr:uid="{00000000-0005-0000-0000-000012000000}"/>
    <cellStyle name="Comma 30" xfId="22" xr:uid="{00000000-0005-0000-0000-000013000000}"/>
    <cellStyle name="Comma 31" xfId="23" xr:uid="{00000000-0005-0000-0000-000014000000}"/>
    <cellStyle name="Comma 32" xfId="24" xr:uid="{00000000-0005-0000-0000-000015000000}"/>
    <cellStyle name="Comma 33" xfId="25" xr:uid="{00000000-0005-0000-0000-000016000000}"/>
    <cellStyle name="Comma 34" xfId="26" xr:uid="{00000000-0005-0000-0000-000017000000}"/>
    <cellStyle name="Comma 34 2" xfId="27" xr:uid="{00000000-0005-0000-0000-000018000000}"/>
    <cellStyle name="Comma 35" xfId="28" xr:uid="{00000000-0005-0000-0000-000019000000}"/>
    <cellStyle name="Comma 36" xfId="29" xr:uid="{00000000-0005-0000-0000-00001A000000}"/>
    <cellStyle name="Comma 37" xfId="30" xr:uid="{00000000-0005-0000-0000-00001B000000}"/>
    <cellStyle name="Comma 38" xfId="31" xr:uid="{00000000-0005-0000-0000-00001C000000}"/>
    <cellStyle name="Comma 39" xfId="32" xr:uid="{00000000-0005-0000-0000-00001D000000}"/>
    <cellStyle name="Comma 4" xfId="33" xr:uid="{00000000-0005-0000-0000-00001E000000}"/>
    <cellStyle name="Comma 40" xfId="34" xr:uid="{00000000-0005-0000-0000-00001F000000}"/>
    <cellStyle name="Comma 41" xfId="35" xr:uid="{00000000-0005-0000-0000-000020000000}"/>
    <cellStyle name="Comma 42" xfId="36" xr:uid="{00000000-0005-0000-0000-000021000000}"/>
    <cellStyle name="Comma 43" xfId="37" xr:uid="{00000000-0005-0000-0000-000022000000}"/>
    <cellStyle name="Comma 44" xfId="38" xr:uid="{00000000-0005-0000-0000-000023000000}"/>
    <cellStyle name="Comma 45" xfId="39" xr:uid="{00000000-0005-0000-0000-000024000000}"/>
    <cellStyle name="Comma 46" xfId="40" xr:uid="{00000000-0005-0000-0000-000025000000}"/>
    <cellStyle name="Comma 47" xfId="41" xr:uid="{00000000-0005-0000-0000-000026000000}"/>
    <cellStyle name="Comma 48" xfId="42" xr:uid="{00000000-0005-0000-0000-000027000000}"/>
    <cellStyle name="Comma 49" xfId="43" xr:uid="{00000000-0005-0000-0000-000028000000}"/>
    <cellStyle name="Comma 5" xfId="44" xr:uid="{00000000-0005-0000-0000-000029000000}"/>
    <cellStyle name="Comma 50" xfId="45" xr:uid="{00000000-0005-0000-0000-00002A000000}"/>
    <cellStyle name="Comma 51" xfId="46" xr:uid="{00000000-0005-0000-0000-00002B000000}"/>
    <cellStyle name="Comma 52" xfId="47" xr:uid="{00000000-0005-0000-0000-00002C000000}"/>
    <cellStyle name="Comma 53" xfId="48" xr:uid="{00000000-0005-0000-0000-00002D000000}"/>
    <cellStyle name="Comma 54" xfId="49" xr:uid="{00000000-0005-0000-0000-00002E000000}"/>
    <cellStyle name="Comma 55" xfId="50" xr:uid="{00000000-0005-0000-0000-00002F000000}"/>
    <cellStyle name="Comma 56" xfId="51" xr:uid="{00000000-0005-0000-0000-000030000000}"/>
    <cellStyle name="Comma 57" xfId="52" xr:uid="{00000000-0005-0000-0000-000031000000}"/>
    <cellStyle name="Comma 59" xfId="53" xr:uid="{00000000-0005-0000-0000-000032000000}"/>
    <cellStyle name="Comma 6" xfId="54" xr:uid="{00000000-0005-0000-0000-000033000000}"/>
    <cellStyle name="Comma 60" xfId="55" xr:uid="{00000000-0005-0000-0000-000034000000}"/>
    <cellStyle name="Comma 61" xfId="56" xr:uid="{00000000-0005-0000-0000-000035000000}"/>
    <cellStyle name="Comma 62" xfId="57" xr:uid="{00000000-0005-0000-0000-000036000000}"/>
    <cellStyle name="Comma 63" xfId="58" xr:uid="{00000000-0005-0000-0000-000037000000}"/>
    <cellStyle name="Comma 64" xfId="59" xr:uid="{00000000-0005-0000-0000-000038000000}"/>
    <cellStyle name="Comma 65" xfId="60" xr:uid="{00000000-0005-0000-0000-000039000000}"/>
    <cellStyle name="Comma 66" xfId="61" xr:uid="{00000000-0005-0000-0000-00003A000000}"/>
    <cellStyle name="Comma 67" xfId="62" xr:uid="{00000000-0005-0000-0000-00003B000000}"/>
    <cellStyle name="Comma 68" xfId="63" xr:uid="{00000000-0005-0000-0000-00003C000000}"/>
    <cellStyle name="Comma 69" xfId="64" xr:uid="{00000000-0005-0000-0000-00003D000000}"/>
    <cellStyle name="Comma 7" xfId="65" xr:uid="{00000000-0005-0000-0000-00003E000000}"/>
    <cellStyle name="Comma 70" xfId="66" xr:uid="{00000000-0005-0000-0000-00003F000000}"/>
    <cellStyle name="Comma 71" xfId="67" xr:uid="{00000000-0005-0000-0000-000040000000}"/>
    <cellStyle name="Comma 72" xfId="68" xr:uid="{00000000-0005-0000-0000-000041000000}"/>
    <cellStyle name="Comma 73" xfId="69" xr:uid="{00000000-0005-0000-0000-000042000000}"/>
    <cellStyle name="Comma 74" xfId="70" xr:uid="{00000000-0005-0000-0000-000043000000}"/>
    <cellStyle name="Comma 75" xfId="71" xr:uid="{00000000-0005-0000-0000-000044000000}"/>
    <cellStyle name="Comma 76" xfId="72" xr:uid="{00000000-0005-0000-0000-000045000000}"/>
    <cellStyle name="Comma 77" xfId="73" xr:uid="{00000000-0005-0000-0000-000046000000}"/>
    <cellStyle name="Comma 78" xfId="74" xr:uid="{00000000-0005-0000-0000-000047000000}"/>
    <cellStyle name="Comma 79" xfId="75" xr:uid="{00000000-0005-0000-0000-000048000000}"/>
    <cellStyle name="Comma 8" xfId="76" xr:uid="{00000000-0005-0000-0000-000049000000}"/>
    <cellStyle name="Comma 80" xfId="77" xr:uid="{00000000-0005-0000-0000-00004A000000}"/>
    <cellStyle name="Comma 81" xfId="78" xr:uid="{00000000-0005-0000-0000-00004B000000}"/>
    <cellStyle name="Comma 82" xfId="79" xr:uid="{00000000-0005-0000-0000-00004C000000}"/>
    <cellStyle name="Comma 83" xfId="80" xr:uid="{00000000-0005-0000-0000-00004D000000}"/>
    <cellStyle name="Comma 84" xfId="81" xr:uid="{00000000-0005-0000-0000-00004E000000}"/>
    <cellStyle name="Comma 85" xfId="82" xr:uid="{00000000-0005-0000-0000-00004F000000}"/>
    <cellStyle name="Comma 86" xfId="83" xr:uid="{00000000-0005-0000-0000-000050000000}"/>
    <cellStyle name="Comma 87" xfId="84" xr:uid="{00000000-0005-0000-0000-000051000000}"/>
    <cellStyle name="Comma 88" xfId="85" xr:uid="{00000000-0005-0000-0000-000052000000}"/>
    <cellStyle name="Comma 89" xfId="86" xr:uid="{00000000-0005-0000-0000-000053000000}"/>
    <cellStyle name="Comma 9" xfId="87" xr:uid="{00000000-0005-0000-0000-000054000000}"/>
    <cellStyle name="Comma 90" xfId="88" xr:uid="{00000000-0005-0000-0000-000055000000}"/>
    <cellStyle name="Comma 91" xfId="89" xr:uid="{00000000-0005-0000-0000-000056000000}"/>
    <cellStyle name="Comma 92" xfId="90" xr:uid="{00000000-0005-0000-0000-000057000000}"/>
    <cellStyle name="Comma 93" xfId="91" xr:uid="{00000000-0005-0000-0000-000058000000}"/>
    <cellStyle name="Comma 94" xfId="92" xr:uid="{00000000-0005-0000-0000-000059000000}"/>
    <cellStyle name="Comma 95" xfId="93" xr:uid="{00000000-0005-0000-0000-00005A000000}"/>
    <cellStyle name="Comma 96" xfId="94" xr:uid="{00000000-0005-0000-0000-00005B000000}"/>
    <cellStyle name="Comma 97" xfId="95" xr:uid="{00000000-0005-0000-0000-00005C000000}"/>
    <cellStyle name="Comma 98" xfId="96" xr:uid="{00000000-0005-0000-0000-00005D000000}"/>
    <cellStyle name="Comma 99" xfId="97" xr:uid="{00000000-0005-0000-0000-00005E000000}"/>
    <cellStyle name="Comma0" xfId="98" xr:uid="{00000000-0005-0000-0000-00005F000000}"/>
    <cellStyle name="Comma0 10" xfId="99" xr:uid="{00000000-0005-0000-0000-000060000000}"/>
    <cellStyle name="Comma0 100" xfId="100" xr:uid="{00000000-0005-0000-0000-000061000000}"/>
    <cellStyle name="Comma0 101" xfId="101" xr:uid="{00000000-0005-0000-0000-000062000000}"/>
    <cellStyle name="Comma0 102" xfId="102" xr:uid="{00000000-0005-0000-0000-000063000000}"/>
    <cellStyle name="Comma0 103" xfId="103" xr:uid="{00000000-0005-0000-0000-000064000000}"/>
    <cellStyle name="Comma0 104" xfId="104" xr:uid="{00000000-0005-0000-0000-000065000000}"/>
    <cellStyle name="Comma0 105" xfId="105" xr:uid="{00000000-0005-0000-0000-000066000000}"/>
    <cellStyle name="Comma0 106" xfId="106" xr:uid="{00000000-0005-0000-0000-000067000000}"/>
    <cellStyle name="Comma0 107" xfId="107" xr:uid="{00000000-0005-0000-0000-000068000000}"/>
    <cellStyle name="Comma0 108" xfId="108" xr:uid="{00000000-0005-0000-0000-000069000000}"/>
    <cellStyle name="Comma0 109" xfId="109" xr:uid="{00000000-0005-0000-0000-00006A000000}"/>
    <cellStyle name="Comma0 11" xfId="110" xr:uid="{00000000-0005-0000-0000-00006B000000}"/>
    <cellStyle name="Comma0 12" xfId="111" xr:uid="{00000000-0005-0000-0000-00006C000000}"/>
    <cellStyle name="Comma0 13" xfId="112" xr:uid="{00000000-0005-0000-0000-00006D000000}"/>
    <cellStyle name="Comma0 13 2" xfId="113" xr:uid="{00000000-0005-0000-0000-00006E000000}"/>
    <cellStyle name="Comma0 14" xfId="114" xr:uid="{00000000-0005-0000-0000-00006F000000}"/>
    <cellStyle name="Comma0 14 2" xfId="115" xr:uid="{00000000-0005-0000-0000-000070000000}"/>
    <cellStyle name="Comma0 15" xfId="116" xr:uid="{00000000-0005-0000-0000-000071000000}"/>
    <cellStyle name="Comma0 15 2" xfId="117" xr:uid="{00000000-0005-0000-0000-000072000000}"/>
    <cellStyle name="Comma0 16" xfId="118" xr:uid="{00000000-0005-0000-0000-000073000000}"/>
    <cellStyle name="Comma0 16 2" xfId="119" xr:uid="{00000000-0005-0000-0000-000074000000}"/>
    <cellStyle name="Comma0 17" xfId="120" xr:uid="{00000000-0005-0000-0000-000075000000}"/>
    <cellStyle name="Comma0 17 2" xfId="121" xr:uid="{00000000-0005-0000-0000-000076000000}"/>
    <cellStyle name="Comma0 18" xfId="122" xr:uid="{00000000-0005-0000-0000-000077000000}"/>
    <cellStyle name="Comma0 18 2" xfId="123" xr:uid="{00000000-0005-0000-0000-000078000000}"/>
    <cellStyle name="Comma0 19" xfId="124" xr:uid="{00000000-0005-0000-0000-000079000000}"/>
    <cellStyle name="Comma0 19 2" xfId="125" xr:uid="{00000000-0005-0000-0000-00007A000000}"/>
    <cellStyle name="Comma0 2" xfId="126" xr:uid="{00000000-0005-0000-0000-00007B000000}"/>
    <cellStyle name="Comma0 20" xfId="127" xr:uid="{00000000-0005-0000-0000-00007C000000}"/>
    <cellStyle name="Comma0 20 2" xfId="128" xr:uid="{00000000-0005-0000-0000-00007D000000}"/>
    <cellStyle name="Comma0 21" xfId="129" xr:uid="{00000000-0005-0000-0000-00007E000000}"/>
    <cellStyle name="Comma0 21 2" xfId="130" xr:uid="{00000000-0005-0000-0000-00007F000000}"/>
    <cellStyle name="Comma0 22" xfId="131" xr:uid="{00000000-0005-0000-0000-000080000000}"/>
    <cellStyle name="Comma0 22 2" xfId="132" xr:uid="{00000000-0005-0000-0000-000081000000}"/>
    <cellStyle name="Comma0 23" xfId="133" xr:uid="{00000000-0005-0000-0000-000082000000}"/>
    <cellStyle name="Comma0 23 2" xfId="134" xr:uid="{00000000-0005-0000-0000-000083000000}"/>
    <cellStyle name="Comma0 24" xfId="135" xr:uid="{00000000-0005-0000-0000-000084000000}"/>
    <cellStyle name="Comma0 25" xfId="136" xr:uid="{00000000-0005-0000-0000-000085000000}"/>
    <cellStyle name="Comma0 26" xfId="137" xr:uid="{00000000-0005-0000-0000-000086000000}"/>
    <cellStyle name="Comma0 27" xfId="138" xr:uid="{00000000-0005-0000-0000-000087000000}"/>
    <cellStyle name="Comma0 28" xfId="139" xr:uid="{00000000-0005-0000-0000-000088000000}"/>
    <cellStyle name="Comma0 29" xfId="140" xr:uid="{00000000-0005-0000-0000-000089000000}"/>
    <cellStyle name="Comma0 3" xfId="141" xr:uid="{00000000-0005-0000-0000-00008A000000}"/>
    <cellStyle name="Comma0 30" xfId="142" xr:uid="{00000000-0005-0000-0000-00008B000000}"/>
    <cellStyle name="Comma0 31" xfId="143" xr:uid="{00000000-0005-0000-0000-00008C000000}"/>
    <cellStyle name="Comma0 32" xfId="144" xr:uid="{00000000-0005-0000-0000-00008D000000}"/>
    <cellStyle name="Comma0 33" xfId="145" xr:uid="{00000000-0005-0000-0000-00008E000000}"/>
    <cellStyle name="Comma0 34" xfId="146" xr:uid="{00000000-0005-0000-0000-00008F000000}"/>
    <cellStyle name="Comma0 35" xfId="147" xr:uid="{00000000-0005-0000-0000-000090000000}"/>
    <cellStyle name="Comma0 36" xfId="148" xr:uid="{00000000-0005-0000-0000-000091000000}"/>
    <cellStyle name="Comma0 37" xfId="149" xr:uid="{00000000-0005-0000-0000-000092000000}"/>
    <cellStyle name="Comma0 38" xfId="150" xr:uid="{00000000-0005-0000-0000-000093000000}"/>
    <cellStyle name="Comma0 39" xfId="151" xr:uid="{00000000-0005-0000-0000-000094000000}"/>
    <cellStyle name="Comma0 4" xfId="152" xr:uid="{00000000-0005-0000-0000-000095000000}"/>
    <cellStyle name="Comma0 40" xfId="153" xr:uid="{00000000-0005-0000-0000-000096000000}"/>
    <cellStyle name="Comma0 41" xfId="154" xr:uid="{00000000-0005-0000-0000-000097000000}"/>
    <cellStyle name="Comma0 42" xfId="155" xr:uid="{00000000-0005-0000-0000-000098000000}"/>
    <cellStyle name="Comma0 43" xfId="156" xr:uid="{00000000-0005-0000-0000-000099000000}"/>
    <cellStyle name="Comma0 44" xfId="157" xr:uid="{00000000-0005-0000-0000-00009A000000}"/>
    <cellStyle name="Comma0 45" xfId="158" xr:uid="{00000000-0005-0000-0000-00009B000000}"/>
    <cellStyle name="Comma0 46" xfId="159" xr:uid="{00000000-0005-0000-0000-00009C000000}"/>
    <cellStyle name="Comma0 47" xfId="160" xr:uid="{00000000-0005-0000-0000-00009D000000}"/>
    <cellStyle name="Comma0 48" xfId="161" xr:uid="{00000000-0005-0000-0000-00009E000000}"/>
    <cellStyle name="Comma0 49" xfId="162" xr:uid="{00000000-0005-0000-0000-00009F000000}"/>
    <cellStyle name="Comma0 5" xfId="163" xr:uid="{00000000-0005-0000-0000-0000A0000000}"/>
    <cellStyle name="Comma0 50" xfId="164" xr:uid="{00000000-0005-0000-0000-0000A1000000}"/>
    <cellStyle name="Comma0 51" xfId="165" xr:uid="{00000000-0005-0000-0000-0000A2000000}"/>
    <cellStyle name="Comma0 52" xfId="166" xr:uid="{00000000-0005-0000-0000-0000A3000000}"/>
    <cellStyle name="Comma0 53" xfId="167" xr:uid="{00000000-0005-0000-0000-0000A4000000}"/>
    <cellStyle name="Comma0 54" xfId="168" xr:uid="{00000000-0005-0000-0000-0000A5000000}"/>
    <cellStyle name="Comma0 55" xfId="169" xr:uid="{00000000-0005-0000-0000-0000A6000000}"/>
    <cellStyle name="Comma0 56" xfId="170" xr:uid="{00000000-0005-0000-0000-0000A7000000}"/>
    <cellStyle name="Comma0 57" xfId="171" xr:uid="{00000000-0005-0000-0000-0000A8000000}"/>
    <cellStyle name="Comma0 58" xfId="172" xr:uid="{00000000-0005-0000-0000-0000A9000000}"/>
    <cellStyle name="Comma0 59" xfId="173" xr:uid="{00000000-0005-0000-0000-0000AA000000}"/>
    <cellStyle name="Comma0 6" xfId="174" xr:uid="{00000000-0005-0000-0000-0000AB000000}"/>
    <cellStyle name="Comma0 60" xfId="175" xr:uid="{00000000-0005-0000-0000-0000AC000000}"/>
    <cellStyle name="Comma0 61" xfId="176" xr:uid="{00000000-0005-0000-0000-0000AD000000}"/>
    <cellStyle name="Comma0 62" xfId="177" xr:uid="{00000000-0005-0000-0000-0000AE000000}"/>
    <cellStyle name="Comma0 63" xfId="178" xr:uid="{00000000-0005-0000-0000-0000AF000000}"/>
    <cellStyle name="Comma0 64" xfId="179" xr:uid="{00000000-0005-0000-0000-0000B0000000}"/>
    <cellStyle name="Comma0 65" xfId="180" xr:uid="{00000000-0005-0000-0000-0000B1000000}"/>
    <cellStyle name="Comma0 66" xfId="181" xr:uid="{00000000-0005-0000-0000-0000B2000000}"/>
    <cellStyle name="Comma0 67" xfId="182" xr:uid="{00000000-0005-0000-0000-0000B3000000}"/>
    <cellStyle name="Comma0 68" xfId="183" xr:uid="{00000000-0005-0000-0000-0000B4000000}"/>
    <cellStyle name="Comma0 69" xfId="184" xr:uid="{00000000-0005-0000-0000-0000B5000000}"/>
    <cellStyle name="Comma0 7" xfId="185" xr:uid="{00000000-0005-0000-0000-0000B6000000}"/>
    <cellStyle name="Comma0 70" xfId="186" xr:uid="{00000000-0005-0000-0000-0000B7000000}"/>
    <cellStyle name="Comma0 71" xfId="187" xr:uid="{00000000-0005-0000-0000-0000B8000000}"/>
    <cellStyle name="Comma0 72" xfId="188" xr:uid="{00000000-0005-0000-0000-0000B9000000}"/>
    <cellStyle name="Comma0 73" xfId="189" xr:uid="{00000000-0005-0000-0000-0000BA000000}"/>
    <cellStyle name="Comma0 74" xfId="190" xr:uid="{00000000-0005-0000-0000-0000BB000000}"/>
    <cellStyle name="Comma0 75" xfId="191" xr:uid="{00000000-0005-0000-0000-0000BC000000}"/>
    <cellStyle name="Comma0 76" xfId="192" xr:uid="{00000000-0005-0000-0000-0000BD000000}"/>
    <cellStyle name="Comma0 77" xfId="193" xr:uid="{00000000-0005-0000-0000-0000BE000000}"/>
    <cellStyle name="Comma0 78" xfId="194" xr:uid="{00000000-0005-0000-0000-0000BF000000}"/>
    <cellStyle name="Comma0 79" xfId="195" xr:uid="{00000000-0005-0000-0000-0000C0000000}"/>
    <cellStyle name="Comma0 8" xfId="196" xr:uid="{00000000-0005-0000-0000-0000C1000000}"/>
    <cellStyle name="Comma0 80" xfId="197" xr:uid="{00000000-0005-0000-0000-0000C2000000}"/>
    <cellStyle name="Comma0 81" xfId="198" xr:uid="{00000000-0005-0000-0000-0000C3000000}"/>
    <cellStyle name="Comma0 82" xfId="199" xr:uid="{00000000-0005-0000-0000-0000C4000000}"/>
    <cellStyle name="Comma0 83" xfId="200" xr:uid="{00000000-0005-0000-0000-0000C5000000}"/>
    <cellStyle name="Comma0 84" xfId="201" xr:uid="{00000000-0005-0000-0000-0000C6000000}"/>
    <cellStyle name="Comma0 85" xfId="202" xr:uid="{00000000-0005-0000-0000-0000C7000000}"/>
    <cellStyle name="Comma0 86" xfId="203" xr:uid="{00000000-0005-0000-0000-0000C8000000}"/>
    <cellStyle name="Comma0 87" xfId="204" xr:uid="{00000000-0005-0000-0000-0000C9000000}"/>
    <cellStyle name="Comma0 88" xfId="205" xr:uid="{00000000-0005-0000-0000-0000CA000000}"/>
    <cellStyle name="Comma0 89" xfId="206" xr:uid="{00000000-0005-0000-0000-0000CB000000}"/>
    <cellStyle name="Comma0 9" xfId="207" xr:uid="{00000000-0005-0000-0000-0000CC000000}"/>
    <cellStyle name="Comma0 90" xfId="208" xr:uid="{00000000-0005-0000-0000-0000CD000000}"/>
    <cellStyle name="Comma0 91" xfId="209" xr:uid="{00000000-0005-0000-0000-0000CE000000}"/>
    <cellStyle name="Comma0 92" xfId="210" xr:uid="{00000000-0005-0000-0000-0000CF000000}"/>
    <cellStyle name="Comma0 93" xfId="211" xr:uid="{00000000-0005-0000-0000-0000D0000000}"/>
    <cellStyle name="Comma0 94" xfId="212" xr:uid="{00000000-0005-0000-0000-0000D1000000}"/>
    <cellStyle name="Comma0 95" xfId="213" xr:uid="{00000000-0005-0000-0000-0000D2000000}"/>
    <cellStyle name="Comma0 96" xfId="214" xr:uid="{00000000-0005-0000-0000-0000D3000000}"/>
    <cellStyle name="Comma0 97" xfId="215" xr:uid="{00000000-0005-0000-0000-0000D4000000}"/>
    <cellStyle name="Comma0 98" xfId="216" xr:uid="{00000000-0005-0000-0000-0000D5000000}"/>
    <cellStyle name="Comma0 99" xfId="217" xr:uid="{00000000-0005-0000-0000-0000D6000000}"/>
    <cellStyle name="Currency" xfId="1057" builtinId="4"/>
    <cellStyle name="Currency 120" xfId="218" xr:uid="{00000000-0005-0000-0000-0000D8000000}"/>
    <cellStyle name="Currency 121" xfId="219" xr:uid="{00000000-0005-0000-0000-0000D9000000}"/>
    <cellStyle name="Currency 2" xfId="220" xr:uid="{00000000-0005-0000-0000-0000DA000000}"/>
    <cellStyle name="Currency0" xfId="221" xr:uid="{00000000-0005-0000-0000-0000DB000000}"/>
    <cellStyle name="Currency0 10" xfId="222" xr:uid="{00000000-0005-0000-0000-0000DC000000}"/>
    <cellStyle name="Currency0 100" xfId="223" xr:uid="{00000000-0005-0000-0000-0000DD000000}"/>
    <cellStyle name="Currency0 101" xfId="224" xr:uid="{00000000-0005-0000-0000-0000DE000000}"/>
    <cellStyle name="Currency0 102" xfId="225" xr:uid="{00000000-0005-0000-0000-0000DF000000}"/>
    <cellStyle name="Currency0 103" xfId="226" xr:uid="{00000000-0005-0000-0000-0000E0000000}"/>
    <cellStyle name="Currency0 104" xfId="227" xr:uid="{00000000-0005-0000-0000-0000E1000000}"/>
    <cellStyle name="Currency0 105" xfId="228" xr:uid="{00000000-0005-0000-0000-0000E2000000}"/>
    <cellStyle name="Currency0 106" xfId="229" xr:uid="{00000000-0005-0000-0000-0000E3000000}"/>
    <cellStyle name="Currency0 11" xfId="230" xr:uid="{00000000-0005-0000-0000-0000E4000000}"/>
    <cellStyle name="Currency0 12" xfId="231" xr:uid="{00000000-0005-0000-0000-0000E5000000}"/>
    <cellStyle name="Currency0 13" xfId="232" xr:uid="{00000000-0005-0000-0000-0000E6000000}"/>
    <cellStyle name="Currency0 13 2" xfId="233" xr:uid="{00000000-0005-0000-0000-0000E7000000}"/>
    <cellStyle name="Currency0 14" xfId="234" xr:uid="{00000000-0005-0000-0000-0000E8000000}"/>
    <cellStyle name="Currency0 14 2" xfId="235" xr:uid="{00000000-0005-0000-0000-0000E9000000}"/>
    <cellStyle name="Currency0 15" xfId="236" xr:uid="{00000000-0005-0000-0000-0000EA000000}"/>
    <cellStyle name="Currency0 15 2" xfId="237" xr:uid="{00000000-0005-0000-0000-0000EB000000}"/>
    <cellStyle name="Currency0 16" xfId="238" xr:uid="{00000000-0005-0000-0000-0000EC000000}"/>
    <cellStyle name="Currency0 16 2" xfId="239" xr:uid="{00000000-0005-0000-0000-0000ED000000}"/>
    <cellStyle name="Currency0 17" xfId="240" xr:uid="{00000000-0005-0000-0000-0000EE000000}"/>
    <cellStyle name="Currency0 17 2" xfId="241" xr:uid="{00000000-0005-0000-0000-0000EF000000}"/>
    <cellStyle name="Currency0 18" xfId="242" xr:uid="{00000000-0005-0000-0000-0000F0000000}"/>
    <cellStyle name="Currency0 18 2" xfId="243" xr:uid="{00000000-0005-0000-0000-0000F1000000}"/>
    <cellStyle name="Currency0 19" xfId="244" xr:uid="{00000000-0005-0000-0000-0000F2000000}"/>
    <cellStyle name="Currency0 19 2" xfId="245" xr:uid="{00000000-0005-0000-0000-0000F3000000}"/>
    <cellStyle name="Currency0 2" xfId="246" xr:uid="{00000000-0005-0000-0000-0000F4000000}"/>
    <cellStyle name="Currency0 20" xfId="247" xr:uid="{00000000-0005-0000-0000-0000F5000000}"/>
    <cellStyle name="Currency0 20 2" xfId="248" xr:uid="{00000000-0005-0000-0000-0000F6000000}"/>
    <cellStyle name="Currency0 21" xfId="249" xr:uid="{00000000-0005-0000-0000-0000F7000000}"/>
    <cellStyle name="Currency0 21 2" xfId="250" xr:uid="{00000000-0005-0000-0000-0000F8000000}"/>
    <cellStyle name="Currency0 22" xfId="251" xr:uid="{00000000-0005-0000-0000-0000F9000000}"/>
    <cellStyle name="Currency0 22 2" xfId="252" xr:uid="{00000000-0005-0000-0000-0000FA000000}"/>
    <cellStyle name="Currency0 23" xfId="253" xr:uid="{00000000-0005-0000-0000-0000FB000000}"/>
    <cellStyle name="Currency0 23 2" xfId="254" xr:uid="{00000000-0005-0000-0000-0000FC000000}"/>
    <cellStyle name="Currency0 24" xfId="255" xr:uid="{00000000-0005-0000-0000-0000FD000000}"/>
    <cellStyle name="Currency0 25" xfId="256" xr:uid="{00000000-0005-0000-0000-0000FE000000}"/>
    <cellStyle name="Currency0 26" xfId="257" xr:uid="{00000000-0005-0000-0000-0000FF000000}"/>
    <cellStyle name="Currency0 27" xfId="258" xr:uid="{00000000-0005-0000-0000-000000010000}"/>
    <cellStyle name="Currency0 28" xfId="259" xr:uid="{00000000-0005-0000-0000-000001010000}"/>
    <cellStyle name="Currency0 29" xfId="260" xr:uid="{00000000-0005-0000-0000-000002010000}"/>
    <cellStyle name="Currency0 3" xfId="261" xr:uid="{00000000-0005-0000-0000-000003010000}"/>
    <cellStyle name="Currency0 30" xfId="262" xr:uid="{00000000-0005-0000-0000-000004010000}"/>
    <cellStyle name="Currency0 31" xfId="263" xr:uid="{00000000-0005-0000-0000-000005010000}"/>
    <cellStyle name="Currency0 32" xfId="264" xr:uid="{00000000-0005-0000-0000-000006010000}"/>
    <cellStyle name="Currency0 33" xfId="265" xr:uid="{00000000-0005-0000-0000-000007010000}"/>
    <cellStyle name="Currency0 34" xfId="266" xr:uid="{00000000-0005-0000-0000-000008010000}"/>
    <cellStyle name="Currency0 35" xfId="267" xr:uid="{00000000-0005-0000-0000-000009010000}"/>
    <cellStyle name="Currency0 36" xfId="268" xr:uid="{00000000-0005-0000-0000-00000A010000}"/>
    <cellStyle name="Currency0 37" xfId="269" xr:uid="{00000000-0005-0000-0000-00000B010000}"/>
    <cellStyle name="Currency0 38" xfId="270" xr:uid="{00000000-0005-0000-0000-00000C010000}"/>
    <cellStyle name="Currency0 39" xfId="271" xr:uid="{00000000-0005-0000-0000-00000D010000}"/>
    <cellStyle name="Currency0 4" xfId="272" xr:uid="{00000000-0005-0000-0000-00000E010000}"/>
    <cellStyle name="Currency0 40" xfId="273" xr:uid="{00000000-0005-0000-0000-00000F010000}"/>
    <cellStyle name="Currency0 41" xfId="274" xr:uid="{00000000-0005-0000-0000-000010010000}"/>
    <cellStyle name="Currency0 42" xfId="275" xr:uid="{00000000-0005-0000-0000-000011010000}"/>
    <cellStyle name="Currency0 43" xfId="276" xr:uid="{00000000-0005-0000-0000-000012010000}"/>
    <cellStyle name="Currency0 44" xfId="277" xr:uid="{00000000-0005-0000-0000-000013010000}"/>
    <cellStyle name="Currency0 45" xfId="278" xr:uid="{00000000-0005-0000-0000-000014010000}"/>
    <cellStyle name="Currency0 46" xfId="279" xr:uid="{00000000-0005-0000-0000-000015010000}"/>
    <cellStyle name="Currency0 47" xfId="280" xr:uid="{00000000-0005-0000-0000-000016010000}"/>
    <cellStyle name="Currency0 48" xfId="281" xr:uid="{00000000-0005-0000-0000-000017010000}"/>
    <cellStyle name="Currency0 49" xfId="282" xr:uid="{00000000-0005-0000-0000-000018010000}"/>
    <cellStyle name="Currency0 5" xfId="283" xr:uid="{00000000-0005-0000-0000-000019010000}"/>
    <cellStyle name="Currency0 50" xfId="284" xr:uid="{00000000-0005-0000-0000-00001A010000}"/>
    <cellStyle name="Currency0 51" xfId="285" xr:uid="{00000000-0005-0000-0000-00001B010000}"/>
    <cellStyle name="Currency0 52" xfId="286" xr:uid="{00000000-0005-0000-0000-00001C010000}"/>
    <cellStyle name="Currency0 53" xfId="287" xr:uid="{00000000-0005-0000-0000-00001D010000}"/>
    <cellStyle name="Currency0 54" xfId="288" xr:uid="{00000000-0005-0000-0000-00001E010000}"/>
    <cellStyle name="Currency0 55" xfId="289" xr:uid="{00000000-0005-0000-0000-00001F010000}"/>
    <cellStyle name="Currency0 56" xfId="290" xr:uid="{00000000-0005-0000-0000-000020010000}"/>
    <cellStyle name="Currency0 57" xfId="291" xr:uid="{00000000-0005-0000-0000-000021010000}"/>
    <cellStyle name="Currency0 58" xfId="292" xr:uid="{00000000-0005-0000-0000-000022010000}"/>
    <cellStyle name="Currency0 59" xfId="293" xr:uid="{00000000-0005-0000-0000-000023010000}"/>
    <cellStyle name="Currency0 6" xfId="294" xr:uid="{00000000-0005-0000-0000-000024010000}"/>
    <cellStyle name="Currency0 60" xfId="295" xr:uid="{00000000-0005-0000-0000-000025010000}"/>
    <cellStyle name="Currency0 61" xfId="296" xr:uid="{00000000-0005-0000-0000-000026010000}"/>
    <cellStyle name="Currency0 62" xfId="297" xr:uid="{00000000-0005-0000-0000-000027010000}"/>
    <cellStyle name="Currency0 63" xfId="298" xr:uid="{00000000-0005-0000-0000-000028010000}"/>
    <cellStyle name="Currency0 64" xfId="299" xr:uid="{00000000-0005-0000-0000-000029010000}"/>
    <cellStyle name="Currency0 65" xfId="300" xr:uid="{00000000-0005-0000-0000-00002A010000}"/>
    <cellStyle name="Currency0 66" xfId="301" xr:uid="{00000000-0005-0000-0000-00002B010000}"/>
    <cellStyle name="Currency0 67" xfId="302" xr:uid="{00000000-0005-0000-0000-00002C010000}"/>
    <cellStyle name="Currency0 68" xfId="303" xr:uid="{00000000-0005-0000-0000-00002D010000}"/>
    <cellStyle name="Currency0 69" xfId="304" xr:uid="{00000000-0005-0000-0000-00002E010000}"/>
    <cellStyle name="Currency0 7" xfId="305" xr:uid="{00000000-0005-0000-0000-00002F010000}"/>
    <cellStyle name="Currency0 70" xfId="306" xr:uid="{00000000-0005-0000-0000-000030010000}"/>
    <cellStyle name="Currency0 71" xfId="307" xr:uid="{00000000-0005-0000-0000-000031010000}"/>
    <cellStyle name="Currency0 72" xfId="308" xr:uid="{00000000-0005-0000-0000-000032010000}"/>
    <cellStyle name="Currency0 73" xfId="309" xr:uid="{00000000-0005-0000-0000-000033010000}"/>
    <cellStyle name="Currency0 74" xfId="310" xr:uid="{00000000-0005-0000-0000-000034010000}"/>
    <cellStyle name="Currency0 75" xfId="311" xr:uid="{00000000-0005-0000-0000-000035010000}"/>
    <cellStyle name="Currency0 76" xfId="312" xr:uid="{00000000-0005-0000-0000-000036010000}"/>
    <cellStyle name="Currency0 77" xfId="313" xr:uid="{00000000-0005-0000-0000-000037010000}"/>
    <cellStyle name="Currency0 78" xfId="314" xr:uid="{00000000-0005-0000-0000-000038010000}"/>
    <cellStyle name="Currency0 79" xfId="315" xr:uid="{00000000-0005-0000-0000-000039010000}"/>
    <cellStyle name="Currency0 8" xfId="316" xr:uid="{00000000-0005-0000-0000-00003A010000}"/>
    <cellStyle name="Currency0 80" xfId="317" xr:uid="{00000000-0005-0000-0000-00003B010000}"/>
    <cellStyle name="Currency0 81" xfId="318" xr:uid="{00000000-0005-0000-0000-00003C010000}"/>
    <cellStyle name="Currency0 82" xfId="319" xr:uid="{00000000-0005-0000-0000-00003D010000}"/>
    <cellStyle name="Currency0 83" xfId="320" xr:uid="{00000000-0005-0000-0000-00003E010000}"/>
    <cellStyle name="Currency0 84" xfId="321" xr:uid="{00000000-0005-0000-0000-00003F010000}"/>
    <cellStyle name="Currency0 85" xfId="322" xr:uid="{00000000-0005-0000-0000-000040010000}"/>
    <cellStyle name="Currency0 86" xfId="323" xr:uid="{00000000-0005-0000-0000-000041010000}"/>
    <cellStyle name="Currency0 87" xfId="324" xr:uid="{00000000-0005-0000-0000-000042010000}"/>
    <cellStyle name="Currency0 88" xfId="325" xr:uid="{00000000-0005-0000-0000-000043010000}"/>
    <cellStyle name="Currency0 89" xfId="326" xr:uid="{00000000-0005-0000-0000-000044010000}"/>
    <cellStyle name="Currency0 9" xfId="327" xr:uid="{00000000-0005-0000-0000-000045010000}"/>
    <cellStyle name="Currency0 90" xfId="328" xr:uid="{00000000-0005-0000-0000-000046010000}"/>
    <cellStyle name="Currency0 91" xfId="329" xr:uid="{00000000-0005-0000-0000-000047010000}"/>
    <cellStyle name="Currency0 92" xfId="330" xr:uid="{00000000-0005-0000-0000-000048010000}"/>
    <cellStyle name="Currency0 93" xfId="331" xr:uid="{00000000-0005-0000-0000-000049010000}"/>
    <cellStyle name="Currency0 94" xfId="332" xr:uid="{00000000-0005-0000-0000-00004A010000}"/>
    <cellStyle name="Currency0 95" xfId="333" xr:uid="{00000000-0005-0000-0000-00004B010000}"/>
    <cellStyle name="Currency0 96" xfId="334" xr:uid="{00000000-0005-0000-0000-00004C010000}"/>
    <cellStyle name="Currency0 97" xfId="335" xr:uid="{00000000-0005-0000-0000-00004D010000}"/>
    <cellStyle name="Currency0 98" xfId="336" xr:uid="{00000000-0005-0000-0000-00004E010000}"/>
    <cellStyle name="Currency0 99" xfId="337" xr:uid="{00000000-0005-0000-0000-00004F010000}"/>
    <cellStyle name="Date" xfId="338" xr:uid="{00000000-0005-0000-0000-000050010000}"/>
    <cellStyle name="Date 10" xfId="339" xr:uid="{00000000-0005-0000-0000-000051010000}"/>
    <cellStyle name="Date 100" xfId="340" xr:uid="{00000000-0005-0000-0000-000052010000}"/>
    <cellStyle name="Date 101" xfId="341" xr:uid="{00000000-0005-0000-0000-000053010000}"/>
    <cellStyle name="Date 102" xfId="342" xr:uid="{00000000-0005-0000-0000-000054010000}"/>
    <cellStyle name="Date 103" xfId="343" xr:uid="{00000000-0005-0000-0000-000055010000}"/>
    <cellStyle name="Date 104" xfId="344" xr:uid="{00000000-0005-0000-0000-000056010000}"/>
    <cellStyle name="Date 105" xfId="345" xr:uid="{00000000-0005-0000-0000-000057010000}"/>
    <cellStyle name="Date 106" xfId="346" xr:uid="{00000000-0005-0000-0000-000058010000}"/>
    <cellStyle name="Date 11" xfId="347" xr:uid="{00000000-0005-0000-0000-000059010000}"/>
    <cellStyle name="Date 12" xfId="348" xr:uid="{00000000-0005-0000-0000-00005A010000}"/>
    <cellStyle name="Date 13" xfId="349" xr:uid="{00000000-0005-0000-0000-00005B010000}"/>
    <cellStyle name="Date 13 2" xfId="350" xr:uid="{00000000-0005-0000-0000-00005C010000}"/>
    <cellStyle name="Date 14" xfId="351" xr:uid="{00000000-0005-0000-0000-00005D010000}"/>
    <cellStyle name="Date 14 2" xfId="352" xr:uid="{00000000-0005-0000-0000-00005E010000}"/>
    <cellStyle name="Date 15" xfId="353" xr:uid="{00000000-0005-0000-0000-00005F010000}"/>
    <cellStyle name="Date 15 2" xfId="354" xr:uid="{00000000-0005-0000-0000-000060010000}"/>
    <cellStyle name="Date 16" xfId="355" xr:uid="{00000000-0005-0000-0000-000061010000}"/>
    <cellStyle name="Date 16 2" xfId="356" xr:uid="{00000000-0005-0000-0000-000062010000}"/>
    <cellStyle name="Date 17" xfId="357" xr:uid="{00000000-0005-0000-0000-000063010000}"/>
    <cellStyle name="Date 17 2" xfId="358" xr:uid="{00000000-0005-0000-0000-000064010000}"/>
    <cellStyle name="Date 18" xfId="359" xr:uid="{00000000-0005-0000-0000-000065010000}"/>
    <cellStyle name="Date 18 2" xfId="360" xr:uid="{00000000-0005-0000-0000-000066010000}"/>
    <cellStyle name="Date 19" xfId="361" xr:uid="{00000000-0005-0000-0000-000067010000}"/>
    <cellStyle name="Date 19 2" xfId="362" xr:uid="{00000000-0005-0000-0000-000068010000}"/>
    <cellStyle name="Date 2" xfId="363" xr:uid="{00000000-0005-0000-0000-000069010000}"/>
    <cellStyle name="Date 20" xfId="364" xr:uid="{00000000-0005-0000-0000-00006A010000}"/>
    <cellStyle name="Date 20 2" xfId="365" xr:uid="{00000000-0005-0000-0000-00006B010000}"/>
    <cellStyle name="Date 21" xfId="366" xr:uid="{00000000-0005-0000-0000-00006C010000}"/>
    <cellStyle name="Date 21 2" xfId="367" xr:uid="{00000000-0005-0000-0000-00006D010000}"/>
    <cellStyle name="Date 22" xfId="368" xr:uid="{00000000-0005-0000-0000-00006E010000}"/>
    <cellStyle name="Date 22 2" xfId="369" xr:uid="{00000000-0005-0000-0000-00006F010000}"/>
    <cellStyle name="Date 23" xfId="370" xr:uid="{00000000-0005-0000-0000-000070010000}"/>
    <cellStyle name="Date 23 2" xfId="371" xr:uid="{00000000-0005-0000-0000-000071010000}"/>
    <cellStyle name="Date 24" xfId="372" xr:uid="{00000000-0005-0000-0000-000072010000}"/>
    <cellStyle name="Date 25" xfId="373" xr:uid="{00000000-0005-0000-0000-000073010000}"/>
    <cellStyle name="Date 26" xfId="374" xr:uid="{00000000-0005-0000-0000-000074010000}"/>
    <cellStyle name="Date 27" xfId="375" xr:uid="{00000000-0005-0000-0000-000075010000}"/>
    <cellStyle name="Date 28" xfId="376" xr:uid="{00000000-0005-0000-0000-000076010000}"/>
    <cellStyle name="Date 29" xfId="377" xr:uid="{00000000-0005-0000-0000-000077010000}"/>
    <cellStyle name="Date 3" xfId="378" xr:uid="{00000000-0005-0000-0000-000078010000}"/>
    <cellStyle name="Date 30" xfId="379" xr:uid="{00000000-0005-0000-0000-000079010000}"/>
    <cellStyle name="Date 31" xfId="380" xr:uid="{00000000-0005-0000-0000-00007A010000}"/>
    <cellStyle name="Date 32" xfId="381" xr:uid="{00000000-0005-0000-0000-00007B010000}"/>
    <cellStyle name="Date 33" xfId="382" xr:uid="{00000000-0005-0000-0000-00007C010000}"/>
    <cellStyle name="Date 34" xfId="383" xr:uid="{00000000-0005-0000-0000-00007D010000}"/>
    <cellStyle name="Date 35" xfId="384" xr:uid="{00000000-0005-0000-0000-00007E010000}"/>
    <cellStyle name="Date 36" xfId="385" xr:uid="{00000000-0005-0000-0000-00007F010000}"/>
    <cellStyle name="Date 37" xfId="386" xr:uid="{00000000-0005-0000-0000-000080010000}"/>
    <cellStyle name="Date 38" xfId="387" xr:uid="{00000000-0005-0000-0000-000081010000}"/>
    <cellStyle name="Date 39" xfId="388" xr:uid="{00000000-0005-0000-0000-000082010000}"/>
    <cellStyle name="Date 4" xfId="389" xr:uid="{00000000-0005-0000-0000-000083010000}"/>
    <cellStyle name="Date 40" xfId="390" xr:uid="{00000000-0005-0000-0000-000084010000}"/>
    <cellStyle name="Date 41" xfId="391" xr:uid="{00000000-0005-0000-0000-000085010000}"/>
    <cellStyle name="Date 42" xfId="392" xr:uid="{00000000-0005-0000-0000-000086010000}"/>
    <cellStyle name="Date 43" xfId="393" xr:uid="{00000000-0005-0000-0000-000087010000}"/>
    <cellStyle name="Date 44" xfId="394" xr:uid="{00000000-0005-0000-0000-000088010000}"/>
    <cellStyle name="Date 45" xfId="395" xr:uid="{00000000-0005-0000-0000-000089010000}"/>
    <cellStyle name="Date 46" xfId="396" xr:uid="{00000000-0005-0000-0000-00008A010000}"/>
    <cellStyle name="Date 47" xfId="397" xr:uid="{00000000-0005-0000-0000-00008B010000}"/>
    <cellStyle name="Date 48" xfId="398" xr:uid="{00000000-0005-0000-0000-00008C010000}"/>
    <cellStyle name="Date 49" xfId="399" xr:uid="{00000000-0005-0000-0000-00008D010000}"/>
    <cellStyle name="Date 5" xfId="400" xr:uid="{00000000-0005-0000-0000-00008E010000}"/>
    <cellStyle name="Date 50" xfId="401" xr:uid="{00000000-0005-0000-0000-00008F010000}"/>
    <cellStyle name="Date 51" xfId="402" xr:uid="{00000000-0005-0000-0000-000090010000}"/>
    <cellStyle name="Date 52" xfId="403" xr:uid="{00000000-0005-0000-0000-000091010000}"/>
    <cellStyle name="Date 53" xfId="404" xr:uid="{00000000-0005-0000-0000-000092010000}"/>
    <cellStyle name="Date 54" xfId="405" xr:uid="{00000000-0005-0000-0000-000093010000}"/>
    <cellStyle name="Date 55" xfId="406" xr:uid="{00000000-0005-0000-0000-000094010000}"/>
    <cellStyle name="Date 56" xfId="407" xr:uid="{00000000-0005-0000-0000-000095010000}"/>
    <cellStyle name="Date 57" xfId="408" xr:uid="{00000000-0005-0000-0000-000096010000}"/>
    <cellStyle name="Date 58" xfId="409" xr:uid="{00000000-0005-0000-0000-000097010000}"/>
    <cellStyle name="Date 59" xfId="410" xr:uid="{00000000-0005-0000-0000-000098010000}"/>
    <cellStyle name="Date 6" xfId="411" xr:uid="{00000000-0005-0000-0000-000099010000}"/>
    <cellStyle name="Date 60" xfId="412" xr:uid="{00000000-0005-0000-0000-00009A010000}"/>
    <cellStyle name="Date 61" xfId="413" xr:uid="{00000000-0005-0000-0000-00009B010000}"/>
    <cellStyle name="Date 62" xfId="414" xr:uid="{00000000-0005-0000-0000-00009C010000}"/>
    <cellStyle name="Date 63" xfId="415" xr:uid="{00000000-0005-0000-0000-00009D010000}"/>
    <cellStyle name="Date 64" xfId="416" xr:uid="{00000000-0005-0000-0000-00009E010000}"/>
    <cellStyle name="Date 65" xfId="417" xr:uid="{00000000-0005-0000-0000-00009F010000}"/>
    <cellStyle name="Date 66" xfId="418" xr:uid="{00000000-0005-0000-0000-0000A0010000}"/>
    <cellStyle name="Date 67" xfId="419" xr:uid="{00000000-0005-0000-0000-0000A1010000}"/>
    <cellStyle name="Date 68" xfId="420" xr:uid="{00000000-0005-0000-0000-0000A2010000}"/>
    <cellStyle name="Date 69" xfId="421" xr:uid="{00000000-0005-0000-0000-0000A3010000}"/>
    <cellStyle name="Date 7" xfId="422" xr:uid="{00000000-0005-0000-0000-0000A4010000}"/>
    <cellStyle name="Date 70" xfId="423" xr:uid="{00000000-0005-0000-0000-0000A5010000}"/>
    <cellStyle name="Date 71" xfId="424" xr:uid="{00000000-0005-0000-0000-0000A6010000}"/>
    <cellStyle name="Date 72" xfId="425" xr:uid="{00000000-0005-0000-0000-0000A7010000}"/>
    <cellStyle name="Date 73" xfId="426" xr:uid="{00000000-0005-0000-0000-0000A8010000}"/>
    <cellStyle name="Date 74" xfId="427" xr:uid="{00000000-0005-0000-0000-0000A9010000}"/>
    <cellStyle name="Date 75" xfId="428" xr:uid="{00000000-0005-0000-0000-0000AA010000}"/>
    <cellStyle name="Date 76" xfId="429" xr:uid="{00000000-0005-0000-0000-0000AB010000}"/>
    <cellStyle name="Date 77" xfId="430" xr:uid="{00000000-0005-0000-0000-0000AC010000}"/>
    <cellStyle name="Date 78" xfId="431" xr:uid="{00000000-0005-0000-0000-0000AD010000}"/>
    <cellStyle name="Date 79" xfId="432" xr:uid="{00000000-0005-0000-0000-0000AE010000}"/>
    <cellStyle name="Date 8" xfId="433" xr:uid="{00000000-0005-0000-0000-0000AF010000}"/>
    <cellStyle name="Date 80" xfId="434" xr:uid="{00000000-0005-0000-0000-0000B0010000}"/>
    <cellStyle name="Date 81" xfId="435" xr:uid="{00000000-0005-0000-0000-0000B1010000}"/>
    <cellStyle name="Date 82" xfId="436" xr:uid="{00000000-0005-0000-0000-0000B2010000}"/>
    <cellStyle name="Date 83" xfId="437" xr:uid="{00000000-0005-0000-0000-0000B3010000}"/>
    <cellStyle name="Date 84" xfId="438" xr:uid="{00000000-0005-0000-0000-0000B4010000}"/>
    <cellStyle name="Date 85" xfId="439" xr:uid="{00000000-0005-0000-0000-0000B5010000}"/>
    <cellStyle name="Date 86" xfId="440" xr:uid="{00000000-0005-0000-0000-0000B6010000}"/>
    <cellStyle name="Date 87" xfId="441" xr:uid="{00000000-0005-0000-0000-0000B7010000}"/>
    <cellStyle name="Date 88" xfId="442" xr:uid="{00000000-0005-0000-0000-0000B8010000}"/>
    <cellStyle name="Date 89" xfId="443" xr:uid="{00000000-0005-0000-0000-0000B9010000}"/>
    <cellStyle name="Date 9" xfId="444" xr:uid="{00000000-0005-0000-0000-0000BA010000}"/>
    <cellStyle name="Date 90" xfId="445" xr:uid="{00000000-0005-0000-0000-0000BB010000}"/>
    <cellStyle name="Date 91" xfId="446" xr:uid="{00000000-0005-0000-0000-0000BC010000}"/>
    <cellStyle name="Date 92" xfId="447" xr:uid="{00000000-0005-0000-0000-0000BD010000}"/>
    <cellStyle name="Date 93" xfId="448" xr:uid="{00000000-0005-0000-0000-0000BE010000}"/>
    <cellStyle name="Date 94" xfId="449" xr:uid="{00000000-0005-0000-0000-0000BF010000}"/>
    <cellStyle name="Date 95" xfId="450" xr:uid="{00000000-0005-0000-0000-0000C0010000}"/>
    <cellStyle name="Date 96" xfId="451" xr:uid="{00000000-0005-0000-0000-0000C1010000}"/>
    <cellStyle name="Date 97" xfId="452" xr:uid="{00000000-0005-0000-0000-0000C2010000}"/>
    <cellStyle name="Date 98" xfId="453" xr:uid="{00000000-0005-0000-0000-0000C3010000}"/>
    <cellStyle name="Date 99" xfId="454" xr:uid="{00000000-0005-0000-0000-0000C4010000}"/>
    <cellStyle name="Fixed" xfId="455" xr:uid="{00000000-0005-0000-0000-0000C5010000}"/>
    <cellStyle name="Fixed 10" xfId="456" xr:uid="{00000000-0005-0000-0000-0000C6010000}"/>
    <cellStyle name="Fixed 100" xfId="457" xr:uid="{00000000-0005-0000-0000-0000C7010000}"/>
    <cellStyle name="Fixed 101" xfId="458" xr:uid="{00000000-0005-0000-0000-0000C8010000}"/>
    <cellStyle name="Fixed 102" xfId="459" xr:uid="{00000000-0005-0000-0000-0000C9010000}"/>
    <cellStyle name="Fixed 103" xfId="460" xr:uid="{00000000-0005-0000-0000-0000CA010000}"/>
    <cellStyle name="Fixed 104" xfId="461" xr:uid="{00000000-0005-0000-0000-0000CB010000}"/>
    <cellStyle name="Fixed 105" xfId="462" xr:uid="{00000000-0005-0000-0000-0000CC010000}"/>
    <cellStyle name="Fixed 106" xfId="463" xr:uid="{00000000-0005-0000-0000-0000CD010000}"/>
    <cellStyle name="Fixed 11" xfId="464" xr:uid="{00000000-0005-0000-0000-0000CE010000}"/>
    <cellStyle name="Fixed 12" xfId="465" xr:uid="{00000000-0005-0000-0000-0000CF010000}"/>
    <cellStyle name="Fixed 13" xfId="466" xr:uid="{00000000-0005-0000-0000-0000D0010000}"/>
    <cellStyle name="Fixed 13 2" xfId="467" xr:uid="{00000000-0005-0000-0000-0000D1010000}"/>
    <cellStyle name="Fixed 14" xfId="468" xr:uid="{00000000-0005-0000-0000-0000D2010000}"/>
    <cellStyle name="Fixed 14 2" xfId="469" xr:uid="{00000000-0005-0000-0000-0000D3010000}"/>
    <cellStyle name="Fixed 15" xfId="470" xr:uid="{00000000-0005-0000-0000-0000D4010000}"/>
    <cellStyle name="Fixed 15 2" xfId="471" xr:uid="{00000000-0005-0000-0000-0000D5010000}"/>
    <cellStyle name="Fixed 16" xfId="472" xr:uid="{00000000-0005-0000-0000-0000D6010000}"/>
    <cellStyle name="Fixed 16 2" xfId="473" xr:uid="{00000000-0005-0000-0000-0000D7010000}"/>
    <cellStyle name="Fixed 17" xfId="474" xr:uid="{00000000-0005-0000-0000-0000D8010000}"/>
    <cellStyle name="Fixed 17 2" xfId="475" xr:uid="{00000000-0005-0000-0000-0000D9010000}"/>
    <cellStyle name="Fixed 18" xfId="476" xr:uid="{00000000-0005-0000-0000-0000DA010000}"/>
    <cellStyle name="Fixed 18 2" xfId="477" xr:uid="{00000000-0005-0000-0000-0000DB010000}"/>
    <cellStyle name="Fixed 19" xfId="478" xr:uid="{00000000-0005-0000-0000-0000DC010000}"/>
    <cellStyle name="Fixed 19 2" xfId="479" xr:uid="{00000000-0005-0000-0000-0000DD010000}"/>
    <cellStyle name="Fixed 2" xfId="480" xr:uid="{00000000-0005-0000-0000-0000DE010000}"/>
    <cellStyle name="Fixed 20" xfId="481" xr:uid="{00000000-0005-0000-0000-0000DF010000}"/>
    <cellStyle name="Fixed 20 2" xfId="482" xr:uid="{00000000-0005-0000-0000-0000E0010000}"/>
    <cellStyle name="Fixed 21" xfId="483" xr:uid="{00000000-0005-0000-0000-0000E1010000}"/>
    <cellStyle name="Fixed 21 2" xfId="484" xr:uid="{00000000-0005-0000-0000-0000E2010000}"/>
    <cellStyle name="Fixed 22" xfId="485" xr:uid="{00000000-0005-0000-0000-0000E3010000}"/>
    <cellStyle name="Fixed 22 2" xfId="486" xr:uid="{00000000-0005-0000-0000-0000E4010000}"/>
    <cellStyle name="Fixed 23" xfId="487" xr:uid="{00000000-0005-0000-0000-0000E5010000}"/>
    <cellStyle name="Fixed 23 2" xfId="488" xr:uid="{00000000-0005-0000-0000-0000E6010000}"/>
    <cellStyle name="Fixed 24" xfId="489" xr:uid="{00000000-0005-0000-0000-0000E7010000}"/>
    <cellStyle name="Fixed 25" xfId="490" xr:uid="{00000000-0005-0000-0000-0000E8010000}"/>
    <cellStyle name="Fixed 26" xfId="491" xr:uid="{00000000-0005-0000-0000-0000E9010000}"/>
    <cellStyle name="Fixed 27" xfId="492" xr:uid="{00000000-0005-0000-0000-0000EA010000}"/>
    <cellStyle name="Fixed 28" xfId="493" xr:uid="{00000000-0005-0000-0000-0000EB010000}"/>
    <cellStyle name="Fixed 29" xfId="494" xr:uid="{00000000-0005-0000-0000-0000EC010000}"/>
    <cellStyle name="Fixed 3" xfId="495" xr:uid="{00000000-0005-0000-0000-0000ED010000}"/>
    <cellStyle name="Fixed 30" xfId="496" xr:uid="{00000000-0005-0000-0000-0000EE010000}"/>
    <cellStyle name="Fixed 31" xfId="497" xr:uid="{00000000-0005-0000-0000-0000EF010000}"/>
    <cellStyle name="Fixed 32" xfId="498" xr:uid="{00000000-0005-0000-0000-0000F0010000}"/>
    <cellStyle name="Fixed 33" xfId="499" xr:uid="{00000000-0005-0000-0000-0000F1010000}"/>
    <cellStyle name="Fixed 34" xfId="500" xr:uid="{00000000-0005-0000-0000-0000F2010000}"/>
    <cellStyle name="Fixed 35" xfId="501" xr:uid="{00000000-0005-0000-0000-0000F3010000}"/>
    <cellStyle name="Fixed 36" xfId="502" xr:uid="{00000000-0005-0000-0000-0000F4010000}"/>
    <cellStyle name="Fixed 37" xfId="503" xr:uid="{00000000-0005-0000-0000-0000F5010000}"/>
    <cellStyle name="Fixed 38" xfId="504" xr:uid="{00000000-0005-0000-0000-0000F6010000}"/>
    <cellStyle name="Fixed 39" xfId="505" xr:uid="{00000000-0005-0000-0000-0000F7010000}"/>
    <cellStyle name="Fixed 4" xfId="506" xr:uid="{00000000-0005-0000-0000-0000F8010000}"/>
    <cellStyle name="Fixed 40" xfId="507" xr:uid="{00000000-0005-0000-0000-0000F9010000}"/>
    <cellStyle name="Fixed 41" xfId="508" xr:uid="{00000000-0005-0000-0000-0000FA010000}"/>
    <cellStyle name="Fixed 42" xfId="509" xr:uid="{00000000-0005-0000-0000-0000FB010000}"/>
    <cellStyle name="Fixed 43" xfId="510" xr:uid="{00000000-0005-0000-0000-0000FC010000}"/>
    <cellStyle name="Fixed 44" xfId="511" xr:uid="{00000000-0005-0000-0000-0000FD010000}"/>
    <cellStyle name="Fixed 45" xfId="512" xr:uid="{00000000-0005-0000-0000-0000FE010000}"/>
    <cellStyle name="Fixed 46" xfId="513" xr:uid="{00000000-0005-0000-0000-0000FF010000}"/>
    <cellStyle name="Fixed 47" xfId="514" xr:uid="{00000000-0005-0000-0000-000000020000}"/>
    <cellStyle name="Fixed 48" xfId="515" xr:uid="{00000000-0005-0000-0000-000001020000}"/>
    <cellStyle name="Fixed 49" xfId="516" xr:uid="{00000000-0005-0000-0000-000002020000}"/>
    <cellStyle name="Fixed 5" xfId="517" xr:uid="{00000000-0005-0000-0000-000003020000}"/>
    <cellStyle name="Fixed 50" xfId="518" xr:uid="{00000000-0005-0000-0000-000004020000}"/>
    <cellStyle name="Fixed 51" xfId="519" xr:uid="{00000000-0005-0000-0000-000005020000}"/>
    <cellStyle name="Fixed 52" xfId="520" xr:uid="{00000000-0005-0000-0000-000006020000}"/>
    <cellStyle name="Fixed 53" xfId="521" xr:uid="{00000000-0005-0000-0000-000007020000}"/>
    <cellStyle name="Fixed 54" xfId="522" xr:uid="{00000000-0005-0000-0000-000008020000}"/>
    <cellStyle name="Fixed 55" xfId="523" xr:uid="{00000000-0005-0000-0000-000009020000}"/>
    <cellStyle name="Fixed 56" xfId="524" xr:uid="{00000000-0005-0000-0000-00000A020000}"/>
    <cellStyle name="Fixed 57" xfId="525" xr:uid="{00000000-0005-0000-0000-00000B020000}"/>
    <cellStyle name="Fixed 58" xfId="526" xr:uid="{00000000-0005-0000-0000-00000C020000}"/>
    <cellStyle name="Fixed 59" xfId="527" xr:uid="{00000000-0005-0000-0000-00000D020000}"/>
    <cellStyle name="Fixed 6" xfId="528" xr:uid="{00000000-0005-0000-0000-00000E020000}"/>
    <cellStyle name="Fixed 60" xfId="529" xr:uid="{00000000-0005-0000-0000-00000F020000}"/>
    <cellStyle name="Fixed 61" xfId="530" xr:uid="{00000000-0005-0000-0000-000010020000}"/>
    <cellStyle name="Fixed 62" xfId="531" xr:uid="{00000000-0005-0000-0000-000011020000}"/>
    <cellStyle name="Fixed 63" xfId="532" xr:uid="{00000000-0005-0000-0000-000012020000}"/>
    <cellStyle name="Fixed 64" xfId="533" xr:uid="{00000000-0005-0000-0000-000013020000}"/>
    <cellStyle name="Fixed 65" xfId="534" xr:uid="{00000000-0005-0000-0000-000014020000}"/>
    <cellStyle name="Fixed 66" xfId="535" xr:uid="{00000000-0005-0000-0000-000015020000}"/>
    <cellStyle name="Fixed 67" xfId="536" xr:uid="{00000000-0005-0000-0000-000016020000}"/>
    <cellStyle name="Fixed 68" xfId="537" xr:uid="{00000000-0005-0000-0000-000017020000}"/>
    <cellStyle name="Fixed 69" xfId="538" xr:uid="{00000000-0005-0000-0000-000018020000}"/>
    <cellStyle name="Fixed 7" xfId="539" xr:uid="{00000000-0005-0000-0000-000019020000}"/>
    <cellStyle name="Fixed 70" xfId="540" xr:uid="{00000000-0005-0000-0000-00001A020000}"/>
    <cellStyle name="Fixed 71" xfId="541" xr:uid="{00000000-0005-0000-0000-00001B020000}"/>
    <cellStyle name="Fixed 72" xfId="542" xr:uid="{00000000-0005-0000-0000-00001C020000}"/>
    <cellStyle name="Fixed 73" xfId="543" xr:uid="{00000000-0005-0000-0000-00001D020000}"/>
    <cellStyle name="Fixed 74" xfId="544" xr:uid="{00000000-0005-0000-0000-00001E020000}"/>
    <cellStyle name="Fixed 75" xfId="545" xr:uid="{00000000-0005-0000-0000-00001F020000}"/>
    <cellStyle name="Fixed 76" xfId="546" xr:uid="{00000000-0005-0000-0000-000020020000}"/>
    <cellStyle name="Fixed 77" xfId="547" xr:uid="{00000000-0005-0000-0000-000021020000}"/>
    <cellStyle name="Fixed 78" xfId="548" xr:uid="{00000000-0005-0000-0000-000022020000}"/>
    <cellStyle name="Fixed 79" xfId="549" xr:uid="{00000000-0005-0000-0000-000023020000}"/>
    <cellStyle name="Fixed 8" xfId="550" xr:uid="{00000000-0005-0000-0000-000024020000}"/>
    <cellStyle name="Fixed 80" xfId="551" xr:uid="{00000000-0005-0000-0000-000025020000}"/>
    <cellStyle name="Fixed 81" xfId="552" xr:uid="{00000000-0005-0000-0000-000026020000}"/>
    <cellStyle name="Fixed 82" xfId="553" xr:uid="{00000000-0005-0000-0000-000027020000}"/>
    <cellStyle name="Fixed 83" xfId="554" xr:uid="{00000000-0005-0000-0000-000028020000}"/>
    <cellStyle name="Fixed 84" xfId="555" xr:uid="{00000000-0005-0000-0000-000029020000}"/>
    <cellStyle name="Fixed 85" xfId="556" xr:uid="{00000000-0005-0000-0000-00002A020000}"/>
    <cellStyle name="Fixed 86" xfId="557" xr:uid="{00000000-0005-0000-0000-00002B020000}"/>
    <cellStyle name="Fixed 87" xfId="558" xr:uid="{00000000-0005-0000-0000-00002C020000}"/>
    <cellStyle name="Fixed 88" xfId="559" xr:uid="{00000000-0005-0000-0000-00002D020000}"/>
    <cellStyle name="Fixed 89" xfId="560" xr:uid="{00000000-0005-0000-0000-00002E020000}"/>
    <cellStyle name="Fixed 9" xfId="561" xr:uid="{00000000-0005-0000-0000-00002F020000}"/>
    <cellStyle name="Fixed 90" xfId="562" xr:uid="{00000000-0005-0000-0000-000030020000}"/>
    <cellStyle name="Fixed 91" xfId="563" xr:uid="{00000000-0005-0000-0000-000031020000}"/>
    <cellStyle name="Fixed 92" xfId="564" xr:uid="{00000000-0005-0000-0000-000032020000}"/>
    <cellStyle name="Fixed 93" xfId="565" xr:uid="{00000000-0005-0000-0000-000033020000}"/>
    <cellStyle name="Fixed 94" xfId="566" xr:uid="{00000000-0005-0000-0000-000034020000}"/>
    <cellStyle name="Fixed 95" xfId="567" xr:uid="{00000000-0005-0000-0000-000035020000}"/>
    <cellStyle name="Fixed 96" xfId="568" xr:uid="{00000000-0005-0000-0000-000036020000}"/>
    <cellStyle name="Fixed 97" xfId="569" xr:uid="{00000000-0005-0000-0000-000037020000}"/>
    <cellStyle name="Fixed 98" xfId="570" xr:uid="{00000000-0005-0000-0000-000038020000}"/>
    <cellStyle name="Fixed 99" xfId="571" xr:uid="{00000000-0005-0000-0000-000039020000}"/>
    <cellStyle name="Heading 1 10" xfId="572" xr:uid="{00000000-0005-0000-0000-00003A020000}"/>
    <cellStyle name="Heading 1 10 2" xfId="573" xr:uid="{00000000-0005-0000-0000-00003B020000}"/>
    <cellStyle name="Heading 1 100" xfId="574" xr:uid="{00000000-0005-0000-0000-00003C020000}"/>
    <cellStyle name="Heading 1 101" xfId="575" xr:uid="{00000000-0005-0000-0000-00003D020000}"/>
    <cellStyle name="Heading 1 102" xfId="576" xr:uid="{00000000-0005-0000-0000-00003E020000}"/>
    <cellStyle name="Heading 1 103" xfId="577" xr:uid="{00000000-0005-0000-0000-00003F020000}"/>
    <cellStyle name="Heading 1 104" xfId="578" xr:uid="{00000000-0005-0000-0000-000040020000}"/>
    <cellStyle name="Heading 1 105" xfId="579" xr:uid="{00000000-0005-0000-0000-000041020000}"/>
    <cellStyle name="Heading 1 106" xfId="580" xr:uid="{00000000-0005-0000-0000-000042020000}"/>
    <cellStyle name="Heading 1 107" xfId="581" xr:uid="{00000000-0005-0000-0000-000043020000}"/>
    <cellStyle name="Heading 1 108" xfId="582" xr:uid="{00000000-0005-0000-0000-000044020000}"/>
    <cellStyle name="Heading 1 109" xfId="583" xr:uid="{00000000-0005-0000-0000-000045020000}"/>
    <cellStyle name="Heading 1 11" xfId="584" xr:uid="{00000000-0005-0000-0000-000046020000}"/>
    <cellStyle name="Heading 1 11 2" xfId="585" xr:uid="{00000000-0005-0000-0000-000047020000}"/>
    <cellStyle name="Heading 1 110" xfId="586" xr:uid="{00000000-0005-0000-0000-000048020000}"/>
    <cellStyle name="Heading 1 111" xfId="587" xr:uid="{00000000-0005-0000-0000-000049020000}"/>
    <cellStyle name="Heading 1 112" xfId="588" xr:uid="{00000000-0005-0000-0000-00004A020000}"/>
    <cellStyle name="Heading 1 113" xfId="589" xr:uid="{00000000-0005-0000-0000-00004B020000}"/>
    <cellStyle name="Heading 1 114" xfId="590" xr:uid="{00000000-0005-0000-0000-00004C020000}"/>
    <cellStyle name="Heading 1 115" xfId="591" xr:uid="{00000000-0005-0000-0000-00004D020000}"/>
    <cellStyle name="Heading 1 116" xfId="592" xr:uid="{00000000-0005-0000-0000-00004E020000}"/>
    <cellStyle name="Heading 1 117" xfId="593" xr:uid="{00000000-0005-0000-0000-00004F020000}"/>
    <cellStyle name="Heading 1 118" xfId="594" xr:uid="{00000000-0005-0000-0000-000050020000}"/>
    <cellStyle name="Heading 1 12" xfId="595" xr:uid="{00000000-0005-0000-0000-000051020000}"/>
    <cellStyle name="Heading 1 12 2" xfId="596" xr:uid="{00000000-0005-0000-0000-000052020000}"/>
    <cellStyle name="Heading 1 13" xfId="597" xr:uid="{00000000-0005-0000-0000-000053020000}"/>
    <cellStyle name="Heading 1 13 2" xfId="598" xr:uid="{00000000-0005-0000-0000-000054020000}"/>
    <cellStyle name="Heading 1 14" xfId="599" xr:uid="{00000000-0005-0000-0000-000055020000}"/>
    <cellStyle name="Heading 1 14 2" xfId="600" xr:uid="{00000000-0005-0000-0000-000056020000}"/>
    <cellStyle name="Heading 1 15" xfId="601" xr:uid="{00000000-0005-0000-0000-000057020000}"/>
    <cellStyle name="Heading 1 15 2" xfId="602" xr:uid="{00000000-0005-0000-0000-000058020000}"/>
    <cellStyle name="Heading 1 16" xfId="603" xr:uid="{00000000-0005-0000-0000-000059020000}"/>
    <cellStyle name="Heading 1 16 2" xfId="604" xr:uid="{00000000-0005-0000-0000-00005A020000}"/>
    <cellStyle name="Heading 1 17" xfId="605" xr:uid="{00000000-0005-0000-0000-00005B020000}"/>
    <cellStyle name="Heading 1 17 2" xfId="606" xr:uid="{00000000-0005-0000-0000-00005C020000}"/>
    <cellStyle name="Heading 1 18" xfId="607" xr:uid="{00000000-0005-0000-0000-00005D020000}"/>
    <cellStyle name="Heading 1 18 2" xfId="608" xr:uid="{00000000-0005-0000-0000-00005E020000}"/>
    <cellStyle name="Heading 1 19" xfId="609" xr:uid="{00000000-0005-0000-0000-00005F020000}"/>
    <cellStyle name="Heading 1 19 2" xfId="610" xr:uid="{00000000-0005-0000-0000-000060020000}"/>
    <cellStyle name="Heading 1 2" xfId="611" xr:uid="{00000000-0005-0000-0000-000061020000}"/>
    <cellStyle name="Heading 1 2 2" xfId="612" xr:uid="{00000000-0005-0000-0000-000062020000}"/>
    <cellStyle name="Heading 1 20" xfId="613" xr:uid="{00000000-0005-0000-0000-000063020000}"/>
    <cellStyle name="Heading 1 20 2" xfId="614" xr:uid="{00000000-0005-0000-0000-000064020000}"/>
    <cellStyle name="Heading 1 21" xfId="615" xr:uid="{00000000-0005-0000-0000-000065020000}"/>
    <cellStyle name="Heading 1 21 2" xfId="616" xr:uid="{00000000-0005-0000-0000-000066020000}"/>
    <cellStyle name="Heading 1 22" xfId="617" xr:uid="{00000000-0005-0000-0000-000067020000}"/>
    <cellStyle name="Heading 1 22 2" xfId="618" xr:uid="{00000000-0005-0000-0000-000068020000}"/>
    <cellStyle name="Heading 1 23" xfId="619" xr:uid="{00000000-0005-0000-0000-000069020000}"/>
    <cellStyle name="Heading 1 23 2" xfId="620" xr:uid="{00000000-0005-0000-0000-00006A020000}"/>
    <cellStyle name="Heading 1 24" xfId="621" xr:uid="{00000000-0005-0000-0000-00006B020000}"/>
    <cellStyle name="Heading 1 24 2" xfId="622" xr:uid="{00000000-0005-0000-0000-00006C020000}"/>
    <cellStyle name="Heading 1 25" xfId="623" xr:uid="{00000000-0005-0000-0000-00006D020000}"/>
    <cellStyle name="Heading 1 25 2" xfId="624" xr:uid="{00000000-0005-0000-0000-00006E020000}"/>
    <cellStyle name="Heading 1 26" xfId="625" xr:uid="{00000000-0005-0000-0000-00006F020000}"/>
    <cellStyle name="Heading 1 26 2" xfId="626" xr:uid="{00000000-0005-0000-0000-000070020000}"/>
    <cellStyle name="Heading 1 27" xfId="627" xr:uid="{00000000-0005-0000-0000-000071020000}"/>
    <cellStyle name="Heading 1 27 2" xfId="628" xr:uid="{00000000-0005-0000-0000-000072020000}"/>
    <cellStyle name="Heading 1 28" xfId="629" xr:uid="{00000000-0005-0000-0000-000073020000}"/>
    <cellStyle name="Heading 1 28 2" xfId="630" xr:uid="{00000000-0005-0000-0000-000074020000}"/>
    <cellStyle name="Heading 1 29" xfId="631" xr:uid="{00000000-0005-0000-0000-000075020000}"/>
    <cellStyle name="Heading 1 29 2" xfId="632" xr:uid="{00000000-0005-0000-0000-000076020000}"/>
    <cellStyle name="Heading 1 3" xfId="633" xr:uid="{00000000-0005-0000-0000-000077020000}"/>
    <cellStyle name="Heading 1 3 2" xfId="634" xr:uid="{00000000-0005-0000-0000-000078020000}"/>
    <cellStyle name="Heading 1 30" xfId="635" xr:uid="{00000000-0005-0000-0000-000079020000}"/>
    <cellStyle name="Heading 1 30 2" xfId="636" xr:uid="{00000000-0005-0000-0000-00007A020000}"/>
    <cellStyle name="Heading 1 31" xfId="637" xr:uid="{00000000-0005-0000-0000-00007B020000}"/>
    <cellStyle name="Heading 1 31 2" xfId="638" xr:uid="{00000000-0005-0000-0000-00007C020000}"/>
    <cellStyle name="Heading 1 32" xfId="639" xr:uid="{00000000-0005-0000-0000-00007D020000}"/>
    <cellStyle name="Heading 1 32 2" xfId="640" xr:uid="{00000000-0005-0000-0000-00007E020000}"/>
    <cellStyle name="Heading 1 33" xfId="641" xr:uid="{00000000-0005-0000-0000-00007F020000}"/>
    <cellStyle name="Heading 1 33 2" xfId="642" xr:uid="{00000000-0005-0000-0000-000080020000}"/>
    <cellStyle name="Heading 1 34" xfId="643" xr:uid="{00000000-0005-0000-0000-000081020000}"/>
    <cellStyle name="Heading 1 34 2" xfId="644" xr:uid="{00000000-0005-0000-0000-000082020000}"/>
    <cellStyle name="Heading 1 35" xfId="645" xr:uid="{00000000-0005-0000-0000-000083020000}"/>
    <cellStyle name="Heading 1 35 2" xfId="646" xr:uid="{00000000-0005-0000-0000-000084020000}"/>
    <cellStyle name="Heading 1 36" xfId="647" xr:uid="{00000000-0005-0000-0000-000085020000}"/>
    <cellStyle name="Heading 1 36 2" xfId="648" xr:uid="{00000000-0005-0000-0000-000086020000}"/>
    <cellStyle name="Heading 1 37" xfId="649" xr:uid="{00000000-0005-0000-0000-000087020000}"/>
    <cellStyle name="Heading 1 37 2" xfId="650" xr:uid="{00000000-0005-0000-0000-000088020000}"/>
    <cellStyle name="Heading 1 38" xfId="651" xr:uid="{00000000-0005-0000-0000-000089020000}"/>
    <cellStyle name="Heading 1 38 2" xfId="652" xr:uid="{00000000-0005-0000-0000-00008A020000}"/>
    <cellStyle name="Heading 1 39" xfId="653" xr:uid="{00000000-0005-0000-0000-00008B020000}"/>
    <cellStyle name="Heading 1 39 2" xfId="654" xr:uid="{00000000-0005-0000-0000-00008C020000}"/>
    <cellStyle name="Heading 1 4" xfId="655" xr:uid="{00000000-0005-0000-0000-00008D020000}"/>
    <cellStyle name="Heading 1 4 2" xfId="656" xr:uid="{00000000-0005-0000-0000-00008E020000}"/>
    <cellStyle name="Heading 1 40" xfId="657" xr:uid="{00000000-0005-0000-0000-00008F020000}"/>
    <cellStyle name="Heading 1 40 2" xfId="658" xr:uid="{00000000-0005-0000-0000-000090020000}"/>
    <cellStyle name="Heading 1 41" xfId="659" xr:uid="{00000000-0005-0000-0000-000091020000}"/>
    <cellStyle name="Heading 1 41 2" xfId="660" xr:uid="{00000000-0005-0000-0000-000092020000}"/>
    <cellStyle name="Heading 1 42" xfId="661" xr:uid="{00000000-0005-0000-0000-000093020000}"/>
    <cellStyle name="Heading 1 42 2" xfId="662" xr:uid="{00000000-0005-0000-0000-000094020000}"/>
    <cellStyle name="Heading 1 43" xfId="663" xr:uid="{00000000-0005-0000-0000-000095020000}"/>
    <cellStyle name="Heading 1 43 2" xfId="664" xr:uid="{00000000-0005-0000-0000-000096020000}"/>
    <cellStyle name="Heading 1 44" xfId="665" xr:uid="{00000000-0005-0000-0000-000097020000}"/>
    <cellStyle name="Heading 1 44 2" xfId="666" xr:uid="{00000000-0005-0000-0000-000098020000}"/>
    <cellStyle name="Heading 1 45" xfId="667" xr:uid="{00000000-0005-0000-0000-000099020000}"/>
    <cellStyle name="Heading 1 46" xfId="668" xr:uid="{00000000-0005-0000-0000-00009A020000}"/>
    <cellStyle name="Heading 1 47" xfId="669" xr:uid="{00000000-0005-0000-0000-00009B020000}"/>
    <cellStyle name="Heading 1 48" xfId="670" xr:uid="{00000000-0005-0000-0000-00009C020000}"/>
    <cellStyle name="Heading 1 49" xfId="671" xr:uid="{00000000-0005-0000-0000-00009D020000}"/>
    <cellStyle name="Heading 1 5" xfId="672" xr:uid="{00000000-0005-0000-0000-00009E020000}"/>
    <cellStyle name="Heading 1 5 2" xfId="673" xr:uid="{00000000-0005-0000-0000-00009F020000}"/>
    <cellStyle name="Heading 1 50" xfId="674" xr:uid="{00000000-0005-0000-0000-0000A0020000}"/>
    <cellStyle name="Heading 1 51" xfId="675" xr:uid="{00000000-0005-0000-0000-0000A1020000}"/>
    <cellStyle name="Heading 1 52" xfId="676" xr:uid="{00000000-0005-0000-0000-0000A2020000}"/>
    <cellStyle name="Heading 1 53" xfId="677" xr:uid="{00000000-0005-0000-0000-0000A3020000}"/>
    <cellStyle name="Heading 1 54" xfId="678" xr:uid="{00000000-0005-0000-0000-0000A4020000}"/>
    <cellStyle name="Heading 1 55" xfId="679" xr:uid="{00000000-0005-0000-0000-0000A5020000}"/>
    <cellStyle name="Heading 1 56" xfId="680" xr:uid="{00000000-0005-0000-0000-0000A6020000}"/>
    <cellStyle name="Heading 1 57" xfId="681" xr:uid="{00000000-0005-0000-0000-0000A7020000}"/>
    <cellStyle name="Heading 1 58" xfId="682" xr:uid="{00000000-0005-0000-0000-0000A8020000}"/>
    <cellStyle name="Heading 1 59" xfId="683" xr:uid="{00000000-0005-0000-0000-0000A9020000}"/>
    <cellStyle name="Heading 1 6" xfId="684" xr:uid="{00000000-0005-0000-0000-0000AA020000}"/>
    <cellStyle name="Heading 1 6 2" xfId="685" xr:uid="{00000000-0005-0000-0000-0000AB020000}"/>
    <cellStyle name="Heading 1 60" xfId="686" xr:uid="{00000000-0005-0000-0000-0000AC020000}"/>
    <cellStyle name="Heading 1 61" xfId="687" xr:uid="{00000000-0005-0000-0000-0000AD020000}"/>
    <cellStyle name="Heading 1 62" xfId="688" xr:uid="{00000000-0005-0000-0000-0000AE020000}"/>
    <cellStyle name="Heading 1 63" xfId="689" xr:uid="{00000000-0005-0000-0000-0000AF020000}"/>
    <cellStyle name="Heading 1 64" xfId="690" xr:uid="{00000000-0005-0000-0000-0000B0020000}"/>
    <cellStyle name="Heading 1 65" xfId="691" xr:uid="{00000000-0005-0000-0000-0000B1020000}"/>
    <cellStyle name="Heading 1 66" xfId="692" xr:uid="{00000000-0005-0000-0000-0000B2020000}"/>
    <cellStyle name="Heading 1 67" xfId="693" xr:uid="{00000000-0005-0000-0000-0000B3020000}"/>
    <cellStyle name="Heading 1 68" xfId="694" xr:uid="{00000000-0005-0000-0000-0000B4020000}"/>
    <cellStyle name="Heading 1 69" xfId="695" xr:uid="{00000000-0005-0000-0000-0000B5020000}"/>
    <cellStyle name="Heading 1 7" xfId="696" xr:uid="{00000000-0005-0000-0000-0000B6020000}"/>
    <cellStyle name="Heading 1 7 2" xfId="697" xr:uid="{00000000-0005-0000-0000-0000B7020000}"/>
    <cellStyle name="Heading 1 70" xfId="698" xr:uid="{00000000-0005-0000-0000-0000B8020000}"/>
    <cellStyle name="Heading 1 71" xfId="699" xr:uid="{00000000-0005-0000-0000-0000B9020000}"/>
    <cellStyle name="Heading 1 72" xfId="700" xr:uid="{00000000-0005-0000-0000-0000BA020000}"/>
    <cellStyle name="Heading 1 73" xfId="701" xr:uid="{00000000-0005-0000-0000-0000BB020000}"/>
    <cellStyle name="Heading 1 74" xfId="702" xr:uid="{00000000-0005-0000-0000-0000BC020000}"/>
    <cellStyle name="Heading 1 75" xfId="703" xr:uid="{00000000-0005-0000-0000-0000BD020000}"/>
    <cellStyle name="Heading 1 76" xfId="704" xr:uid="{00000000-0005-0000-0000-0000BE020000}"/>
    <cellStyle name="Heading 1 77" xfId="705" xr:uid="{00000000-0005-0000-0000-0000BF020000}"/>
    <cellStyle name="Heading 1 78" xfId="706" xr:uid="{00000000-0005-0000-0000-0000C0020000}"/>
    <cellStyle name="Heading 1 79" xfId="707" xr:uid="{00000000-0005-0000-0000-0000C1020000}"/>
    <cellStyle name="Heading 1 8" xfId="708" xr:uid="{00000000-0005-0000-0000-0000C2020000}"/>
    <cellStyle name="Heading 1 8 2" xfId="709" xr:uid="{00000000-0005-0000-0000-0000C3020000}"/>
    <cellStyle name="Heading 1 80" xfId="710" xr:uid="{00000000-0005-0000-0000-0000C4020000}"/>
    <cellStyle name="Heading 1 81" xfId="711" xr:uid="{00000000-0005-0000-0000-0000C5020000}"/>
    <cellStyle name="Heading 1 82" xfId="712" xr:uid="{00000000-0005-0000-0000-0000C6020000}"/>
    <cellStyle name="Heading 1 83" xfId="713" xr:uid="{00000000-0005-0000-0000-0000C7020000}"/>
    <cellStyle name="Heading 1 84" xfId="714" xr:uid="{00000000-0005-0000-0000-0000C8020000}"/>
    <cellStyle name="Heading 1 85" xfId="715" xr:uid="{00000000-0005-0000-0000-0000C9020000}"/>
    <cellStyle name="Heading 1 86" xfId="716" xr:uid="{00000000-0005-0000-0000-0000CA020000}"/>
    <cellStyle name="Heading 1 87" xfId="717" xr:uid="{00000000-0005-0000-0000-0000CB020000}"/>
    <cellStyle name="Heading 1 88" xfId="718" xr:uid="{00000000-0005-0000-0000-0000CC020000}"/>
    <cellStyle name="Heading 1 89" xfId="719" xr:uid="{00000000-0005-0000-0000-0000CD020000}"/>
    <cellStyle name="Heading 1 9" xfId="720" xr:uid="{00000000-0005-0000-0000-0000CE020000}"/>
    <cellStyle name="Heading 1 9 2" xfId="721" xr:uid="{00000000-0005-0000-0000-0000CF020000}"/>
    <cellStyle name="Heading 1 90" xfId="722" xr:uid="{00000000-0005-0000-0000-0000D0020000}"/>
    <cellStyle name="Heading 1 91" xfId="723" xr:uid="{00000000-0005-0000-0000-0000D1020000}"/>
    <cellStyle name="Heading 1 92" xfId="724" xr:uid="{00000000-0005-0000-0000-0000D2020000}"/>
    <cellStyle name="Heading 1 93" xfId="725" xr:uid="{00000000-0005-0000-0000-0000D3020000}"/>
    <cellStyle name="Heading 1 94" xfId="726" xr:uid="{00000000-0005-0000-0000-0000D4020000}"/>
    <cellStyle name="Heading 1 95" xfId="727" xr:uid="{00000000-0005-0000-0000-0000D5020000}"/>
    <cellStyle name="Heading 1 96" xfId="728" xr:uid="{00000000-0005-0000-0000-0000D6020000}"/>
    <cellStyle name="Heading 1 97" xfId="729" xr:uid="{00000000-0005-0000-0000-0000D7020000}"/>
    <cellStyle name="Heading 1 98" xfId="730" xr:uid="{00000000-0005-0000-0000-0000D8020000}"/>
    <cellStyle name="Heading 1 99" xfId="731" xr:uid="{00000000-0005-0000-0000-0000D9020000}"/>
    <cellStyle name="Heading 2 10" xfId="732" xr:uid="{00000000-0005-0000-0000-0000DA020000}"/>
    <cellStyle name="Heading 2 10 2" xfId="733" xr:uid="{00000000-0005-0000-0000-0000DB020000}"/>
    <cellStyle name="Heading 2 100" xfId="734" xr:uid="{00000000-0005-0000-0000-0000DC020000}"/>
    <cellStyle name="Heading 2 101" xfId="735" xr:uid="{00000000-0005-0000-0000-0000DD020000}"/>
    <cellStyle name="Heading 2 102" xfId="736" xr:uid="{00000000-0005-0000-0000-0000DE020000}"/>
    <cellStyle name="Heading 2 103" xfId="737" xr:uid="{00000000-0005-0000-0000-0000DF020000}"/>
    <cellStyle name="Heading 2 104" xfId="738" xr:uid="{00000000-0005-0000-0000-0000E0020000}"/>
    <cellStyle name="Heading 2 105" xfId="739" xr:uid="{00000000-0005-0000-0000-0000E1020000}"/>
    <cellStyle name="Heading 2 106" xfId="740" xr:uid="{00000000-0005-0000-0000-0000E2020000}"/>
    <cellStyle name="Heading 2 107" xfId="741" xr:uid="{00000000-0005-0000-0000-0000E3020000}"/>
    <cellStyle name="Heading 2 108" xfId="742" xr:uid="{00000000-0005-0000-0000-0000E4020000}"/>
    <cellStyle name="Heading 2 109" xfId="743" xr:uid="{00000000-0005-0000-0000-0000E5020000}"/>
    <cellStyle name="Heading 2 11" xfId="744" xr:uid="{00000000-0005-0000-0000-0000E6020000}"/>
    <cellStyle name="Heading 2 11 2" xfId="745" xr:uid="{00000000-0005-0000-0000-0000E7020000}"/>
    <cellStyle name="Heading 2 110" xfId="746" xr:uid="{00000000-0005-0000-0000-0000E8020000}"/>
    <cellStyle name="Heading 2 111" xfId="747" xr:uid="{00000000-0005-0000-0000-0000E9020000}"/>
    <cellStyle name="Heading 2 112" xfId="748" xr:uid="{00000000-0005-0000-0000-0000EA020000}"/>
    <cellStyle name="Heading 2 113" xfId="749" xr:uid="{00000000-0005-0000-0000-0000EB020000}"/>
    <cellStyle name="Heading 2 114" xfId="750" xr:uid="{00000000-0005-0000-0000-0000EC020000}"/>
    <cellStyle name="Heading 2 115" xfId="751" xr:uid="{00000000-0005-0000-0000-0000ED020000}"/>
    <cellStyle name="Heading 2 116" xfId="752" xr:uid="{00000000-0005-0000-0000-0000EE020000}"/>
    <cellStyle name="Heading 2 117" xfId="753" xr:uid="{00000000-0005-0000-0000-0000EF020000}"/>
    <cellStyle name="Heading 2 118" xfId="754" xr:uid="{00000000-0005-0000-0000-0000F0020000}"/>
    <cellStyle name="Heading 2 12" xfId="755" xr:uid="{00000000-0005-0000-0000-0000F1020000}"/>
    <cellStyle name="Heading 2 12 2" xfId="756" xr:uid="{00000000-0005-0000-0000-0000F2020000}"/>
    <cellStyle name="Heading 2 13" xfId="757" xr:uid="{00000000-0005-0000-0000-0000F3020000}"/>
    <cellStyle name="Heading 2 13 2" xfId="758" xr:uid="{00000000-0005-0000-0000-0000F4020000}"/>
    <cellStyle name="Heading 2 14" xfId="759" xr:uid="{00000000-0005-0000-0000-0000F5020000}"/>
    <cellStyle name="Heading 2 14 2" xfId="760" xr:uid="{00000000-0005-0000-0000-0000F6020000}"/>
    <cellStyle name="Heading 2 15" xfId="761" xr:uid="{00000000-0005-0000-0000-0000F7020000}"/>
    <cellStyle name="Heading 2 15 2" xfId="762" xr:uid="{00000000-0005-0000-0000-0000F8020000}"/>
    <cellStyle name="Heading 2 16" xfId="763" xr:uid="{00000000-0005-0000-0000-0000F9020000}"/>
    <cellStyle name="Heading 2 16 2" xfId="764" xr:uid="{00000000-0005-0000-0000-0000FA020000}"/>
    <cellStyle name="Heading 2 17" xfId="765" xr:uid="{00000000-0005-0000-0000-0000FB020000}"/>
    <cellStyle name="Heading 2 17 2" xfId="766" xr:uid="{00000000-0005-0000-0000-0000FC020000}"/>
    <cellStyle name="Heading 2 18" xfId="767" xr:uid="{00000000-0005-0000-0000-0000FD020000}"/>
    <cellStyle name="Heading 2 18 2" xfId="768" xr:uid="{00000000-0005-0000-0000-0000FE020000}"/>
    <cellStyle name="Heading 2 19" xfId="769" xr:uid="{00000000-0005-0000-0000-0000FF020000}"/>
    <cellStyle name="Heading 2 19 2" xfId="770" xr:uid="{00000000-0005-0000-0000-000000030000}"/>
    <cellStyle name="Heading 2 2" xfId="771" xr:uid="{00000000-0005-0000-0000-000001030000}"/>
    <cellStyle name="Heading 2 2 2" xfId="772" xr:uid="{00000000-0005-0000-0000-000002030000}"/>
    <cellStyle name="Heading 2 20" xfId="773" xr:uid="{00000000-0005-0000-0000-000003030000}"/>
    <cellStyle name="Heading 2 20 2" xfId="774" xr:uid="{00000000-0005-0000-0000-000004030000}"/>
    <cellStyle name="Heading 2 21" xfId="775" xr:uid="{00000000-0005-0000-0000-000005030000}"/>
    <cellStyle name="Heading 2 21 2" xfId="776" xr:uid="{00000000-0005-0000-0000-000006030000}"/>
    <cellStyle name="Heading 2 22" xfId="777" xr:uid="{00000000-0005-0000-0000-000007030000}"/>
    <cellStyle name="Heading 2 22 2" xfId="778" xr:uid="{00000000-0005-0000-0000-000008030000}"/>
    <cellStyle name="Heading 2 23" xfId="779" xr:uid="{00000000-0005-0000-0000-000009030000}"/>
    <cellStyle name="Heading 2 23 2" xfId="780" xr:uid="{00000000-0005-0000-0000-00000A030000}"/>
    <cellStyle name="Heading 2 24" xfId="781" xr:uid="{00000000-0005-0000-0000-00000B030000}"/>
    <cellStyle name="Heading 2 24 2" xfId="782" xr:uid="{00000000-0005-0000-0000-00000C030000}"/>
    <cellStyle name="Heading 2 25" xfId="783" xr:uid="{00000000-0005-0000-0000-00000D030000}"/>
    <cellStyle name="Heading 2 25 2" xfId="784" xr:uid="{00000000-0005-0000-0000-00000E030000}"/>
    <cellStyle name="Heading 2 26" xfId="785" xr:uid="{00000000-0005-0000-0000-00000F030000}"/>
    <cellStyle name="Heading 2 26 2" xfId="786" xr:uid="{00000000-0005-0000-0000-000010030000}"/>
    <cellStyle name="Heading 2 27" xfId="787" xr:uid="{00000000-0005-0000-0000-000011030000}"/>
    <cellStyle name="Heading 2 27 2" xfId="788" xr:uid="{00000000-0005-0000-0000-000012030000}"/>
    <cellStyle name="Heading 2 28" xfId="789" xr:uid="{00000000-0005-0000-0000-000013030000}"/>
    <cellStyle name="Heading 2 28 2" xfId="790" xr:uid="{00000000-0005-0000-0000-000014030000}"/>
    <cellStyle name="Heading 2 29" xfId="791" xr:uid="{00000000-0005-0000-0000-000015030000}"/>
    <cellStyle name="Heading 2 29 2" xfId="792" xr:uid="{00000000-0005-0000-0000-000016030000}"/>
    <cellStyle name="Heading 2 3" xfId="793" xr:uid="{00000000-0005-0000-0000-000017030000}"/>
    <cellStyle name="Heading 2 3 2" xfId="794" xr:uid="{00000000-0005-0000-0000-000018030000}"/>
    <cellStyle name="Heading 2 30" xfId="795" xr:uid="{00000000-0005-0000-0000-000019030000}"/>
    <cellStyle name="Heading 2 30 2" xfId="796" xr:uid="{00000000-0005-0000-0000-00001A030000}"/>
    <cellStyle name="Heading 2 31" xfId="797" xr:uid="{00000000-0005-0000-0000-00001B030000}"/>
    <cellStyle name="Heading 2 31 2" xfId="798" xr:uid="{00000000-0005-0000-0000-00001C030000}"/>
    <cellStyle name="Heading 2 32" xfId="799" xr:uid="{00000000-0005-0000-0000-00001D030000}"/>
    <cellStyle name="Heading 2 32 2" xfId="800" xr:uid="{00000000-0005-0000-0000-00001E030000}"/>
    <cellStyle name="Heading 2 33" xfId="801" xr:uid="{00000000-0005-0000-0000-00001F030000}"/>
    <cellStyle name="Heading 2 33 2" xfId="802" xr:uid="{00000000-0005-0000-0000-000020030000}"/>
    <cellStyle name="Heading 2 34" xfId="803" xr:uid="{00000000-0005-0000-0000-000021030000}"/>
    <cellStyle name="Heading 2 34 2" xfId="804" xr:uid="{00000000-0005-0000-0000-000022030000}"/>
    <cellStyle name="Heading 2 35" xfId="805" xr:uid="{00000000-0005-0000-0000-000023030000}"/>
    <cellStyle name="Heading 2 35 2" xfId="806" xr:uid="{00000000-0005-0000-0000-000024030000}"/>
    <cellStyle name="Heading 2 36" xfId="807" xr:uid="{00000000-0005-0000-0000-000025030000}"/>
    <cellStyle name="Heading 2 36 2" xfId="808" xr:uid="{00000000-0005-0000-0000-000026030000}"/>
    <cellStyle name="Heading 2 37" xfId="809" xr:uid="{00000000-0005-0000-0000-000027030000}"/>
    <cellStyle name="Heading 2 37 2" xfId="810" xr:uid="{00000000-0005-0000-0000-000028030000}"/>
    <cellStyle name="Heading 2 38" xfId="811" xr:uid="{00000000-0005-0000-0000-000029030000}"/>
    <cellStyle name="Heading 2 38 2" xfId="812" xr:uid="{00000000-0005-0000-0000-00002A030000}"/>
    <cellStyle name="Heading 2 39" xfId="813" xr:uid="{00000000-0005-0000-0000-00002B030000}"/>
    <cellStyle name="Heading 2 39 2" xfId="814" xr:uid="{00000000-0005-0000-0000-00002C030000}"/>
    <cellStyle name="Heading 2 4" xfId="815" xr:uid="{00000000-0005-0000-0000-00002D030000}"/>
    <cellStyle name="Heading 2 4 2" xfId="816" xr:uid="{00000000-0005-0000-0000-00002E030000}"/>
    <cellStyle name="Heading 2 40" xfId="817" xr:uid="{00000000-0005-0000-0000-00002F030000}"/>
    <cellStyle name="Heading 2 40 2" xfId="818" xr:uid="{00000000-0005-0000-0000-000030030000}"/>
    <cellStyle name="Heading 2 41" xfId="819" xr:uid="{00000000-0005-0000-0000-000031030000}"/>
    <cellStyle name="Heading 2 41 2" xfId="820" xr:uid="{00000000-0005-0000-0000-000032030000}"/>
    <cellStyle name="Heading 2 42" xfId="821" xr:uid="{00000000-0005-0000-0000-000033030000}"/>
    <cellStyle name="Heading 2 42 2" xfId="822" xr:uid="{00000000-0005-0000-0000-000034030000}"/>
    <cellStyle name="Heading 2 43" xfId="823" xr:uid="{00000000-0005-0000-0000-000035030000}"/>
    <cellStyle name="Heading 2 43 2" xfId="824" xr:uid="{00000000-0005-0000-0000-000036030000}"/>
    <cellStyle name="Heading 2 44" xfId="825" xr:uid="{00000000-0005-0000-0000-000037030000}"/>
    <cellStyle name="Heading 2 44 2" xfId="826" xr:uid="{00000000-0005-0000-0000-000038030000}"/>
    <cellStyle name="Heading 2 45" xfId="827" xr:uid="{00000000-0005-0000-0000-000039030000}"/>
    <cellStyle name="Heading 2 46" xfId="828" xr:uid="{00000000-0005-0000-0000-00003A030000}"/>
    <cellStyle name="Heading 2 47" xfId="829" xr:uid="{00000000-0005-0000-0000-00003B030000}"/>
    <cellStyle name="Heading 2 48" xfId="830" xr:uid="{00000000-0005-0000-0000-00003C030000}"/>
    <cellStyle name="Heading 2 49" xfId="831" xr:uid="{00000000-0005-0000-0000-00003D030000}"/>
    <cellStyle name="Heading 2 5" xfId="832" xr:uid="{00000000-0005-0000-0000-00003E030000}"/>
    <cellStyle name="Heading 2 5 2" xfId="833" xr:uid="{00000000-0005-0000-0000-00003F030000}"/>
    <cellStyle name="Heading 2 50" xfId="834" xr:uid="{00000000-0005-0000-0000-000040030000}"/>
    <cellStyle name="Heading 2 51" xfId="835" xr:uid="{00000000-0005-0000-0000-000041030000}"/>
    <cellStyle name="Heading 2 52" xfId="836" xr:uid="{00000000-0005-0000-0000-000042030000}"/>
    <cellStyle name="Heading 2 53" xfId="837" xr:uid="{00000000-0005-0000-0000-000043030000}"/>
    <cellStyle name="Heading 2 54" xfId="838" xr:uid="{00000000-0005-0000-0000-000044030000}"/>
    <cellStyle name="Heading 2 55" xfId="839" xr:uid="{00000000-0005-0000-0000-000045030000}"/>
    <cellStyle name="Heading 2 56" xfId="840" xr:uid="{00000000-0005-0000-0000-000046030000}"/>
    <cellStyle name="Heading 2 57" xfId="841" xr:uid="{00000000-0005-0000-0000-000047030000}"/>
    <cellStyle name="Heading 2 58" xfId="842" xr:uid="{00000000-0005-0000-0000-000048030000}"/>
    <cellStyle name="Heading 2 59" xfId="843" xr:uid="{00000000-0005-0000-0000-000049030000}"/>
    <cellStyle name="Heading 2 6" xfId="844" xr:uid="{00000000-0005-0000-0000-00004A030000}"/>
    <cellStyle name="Heading 2 6 2" xfId="845" xr:uid="{00000000-0005-0000-0000-00004B030000}"/>
    <cellStyle name="Heading 2 60" xfId="846" xr:uid="{00000000-0005-0000-0000-00004C030000}"/>
    <cellStyle name="Heading 2 61" xfId="847" xr:uid="{00000000-0005-0000-0000-00004D030000}"/>
    <cellStyle name="Heading 2 62" xfId="848" xr:uid="{00000000-0005-0000-0000-00004E030000}"/>
    <cellStyle name="Heading 2 63" xfId="849" xr:uid="{00000000-0005-0000-0000-00004F030000}"/>
    <cellStyle name="Heading 2 64" xfId="850" xr:uid="{00000000-0005-0000-0000-000050030000}"/>
    <cellStyle name="Heading 2 65" xfId="851" xr:uid="{00000000-0005-0000-0000-000051030000}"/>
    <cellStyle name="Heading 2 66" xfId="852" xr:uid="{00000000-0005-0000-0000-000052030000}"/>
    <cellStyle name="Heading 2 67" xfId="853" xr:uid="{00000000-0005-0000-0000-000053030000}"/>
    <cellStyle name="Heading 2 68" xfId="854" xr:uid="{00000000-0005-0000-0000-000054030000}"/>
    <cellStyle name="Heading 2 69" xfId="855" xr:uid="{00000000-0005-0000-0000-000055030000}"/>
    <cellStyle name="Heading 2 7" xfId="856" xr:uid="{00000000-0005-0000-0000-000056030000}"/>
    <cellStyle name="Heading 2 7 2" xfId="857" xr:uid="{00000000-0005-0000-0000-000057030000}"/>
    <cellStyle name="Heading 2 70" xfId="858" xr:uid="{00000000-0005-0000-0000-000058030000}"/>
    <cellStyle name="Heading 2 71" xfId="859" xr:uid="{00000000-0005-0000-0000-000059030000}"/>
    <cellStyle name="Heading 2 72" xfId="860" xr:uid="{00000000-0005-0000-0000-00005A030000}"/>
    <cellStyle name="Heading 2 73" xfId="861" xr:uid="{00000000-0005-0000-0000-00005B030000}"/>
    <cellStyle name="Heading 2 74" xfId="862" xr:uid="{00000000-0005-0000-0000-00005C030000}"/>
    <cellStyle name="Heading 2 75" xfId="863" xr:uid="{00000000-0005-0000-0000-00005D030000}"/>
    <cellStyle name="Heading 2 76" xfId="864" xr:uid="{00000000-0005-0000-0000-00005E030000}"/>
    <cellStyle name="Heading 2 77" xfId="865" xr:uid="{00000000-0005-0000-0000-00005F030000}"/>
    <cellStyle name="Heading 2 78" xfId="866" xr:uid="{00000000-0005-0000-0000-000060030000}"/>
    <cellStyle name="Heading 2 79" xfId="867" xr:uid="{00000000-0005-0000-0000-000061030000}"/>
    <cellStyle name="Heading 2 8" xfId="868" xr:uid="{00000000-0005-0000-0000-000062030000}"/>
    <cellStyle name="Heading 2 8 2" xfId="869" xr:uid="{00000000-0005-0000-0000-000063030000}"/>
    <cellStyle name="Heading 2 80" xfId="870" xr:uid="{00000000-0005-0000-0000-000064030000}"/>
    <cellStyle name="Heading 2 81" xfId="871" xr:uid="{00000000-0005-0000-0000-000065030000}"/>
    <cellStyle name="Heading 2 82" xfId="872" xr:uid="{00000000-0005-0000-0000-000066030000}"/>
    <cellStyle name="Heading 2 83" xfId="873" xr:uid="{00000000-0005-0000-0000-000067030000}"/>
    <cellStyle name="Heading 2 84" xfId="874" xr:uid="{00000000-0005-0000-0000-000068030000}"/>
    <cellStyle name="Heading 2 85" xfId="875" xr:uid="{00000000-0005-0000-0000-000069030000}"/>
    <cellStyle name="Heading 2 86" xfId="876" xr:uid="{00000000-0005-0000-0000-00006A030000}"/>
    <cellStyle name="Heading 2 87" xfId="877" xr:uid="{00000000-0005-0000-0000-00006B030000}"/>
    <cellStyle name="Heading 2 88" xfId="878" xr:uid="{00000000-0005-0000-0000-00006C030000}"/>
    <cellStyle name="Heading 2 89" xfId="879" xr:uid="{00000000-0005-0000-0000-00006D030000}"/>
    <cellStyle name="Heading 2 9" xfId="880" xr:uid="{00000000-0005-0000-0000-00006E030000}"/>
    <cellStyle name="Heading 2 9 2" xfId="881" xr:uid="{00000000-0005-0000-0000-00006F030000}"/>
    <cellStyle name="Heading 2 90" xfId="882" xr:uid="{00000000-0005-0000-0000-000070030000}"/>
    <cellStyle name="Heading 2 91" xfId="883" xr:uid="{00000000-0005-0000-0000-000071030000}"/>
    <cellStyle name="Heading 2 92" xfId="884" xr:uid="{00000000-0005-0000-0000-000072030000}"/>
    <cellStyle name="Heading 2 93" xfId="885" xr:uid="{00000000-0005-0000-0000-000073030000}"/>
    <cellStyle name="Heading 2 94" xfId="886" xr:uid="{00000000-0005-0000-0000-000074030000}"/>
    <cellStyle name="Heading 2 95" xfId="887" xr:uid="{00000000-0005-0000-0000-000075030000}"/>
    <cellStyle name="Heading 2 96" xfId="888" xr:uid="{00000000-0005-0000-0000-000076030000}"/>
    <cellStyle name="Heading 2 97" xfId="889" xr:uid="{00000000-0005-0000-0000-000077030000}"/>
    <cellStyle name="Heading 2 98" xfId="890" xr:uid="{00000000-0005-0000-0000-000078030000}"/>
    <cellStyle name="Heading 2 99" xfId="891" xr:uid="{00000000-0005-0000-0000-000079030000}"/>
    <cellStyle name="Normal" xfId="0" builtinId="0"/>
    <cellStyle name="Normal 12 2" xfId="892" xr:uid="{00000000-0005-0000-0000-00007B030000}"/>
    <cellStyle name="Normal 120" xfId="893" xr:uid="{00000000-0005-0000-0000-00007C030000}"/>
    <cellStyle name="Normal 2" xfId="2" xr:uid="{00000000-0005-0000-0000-00007D030000}"/>
    <cellStyle name="Normal 3" xfId="1" xr:uid="{00000000-0005-0000-0000-00007E030000}"/>
    <cellStyle name="Normal 4" xfId="1054" xr:uid="{00000000-0005-0000-0000-00007F030000}"/>
    <cellStyle name="Normal 5" xfId="1056" xr:uid="{00000000-0005-0000-0000-000080030000}"/>
    <cellStyle name="Normal 6" xfId="1058" xr:uid="{00000000-0005-0000-0000-000081030000}"/>
    <cellStyle name="Percent" xfId="1055" builtinId="5"/>
    <cellStyle name="Total 10" xfId="894" xr:uid="{00000000-0005-0000-0000-000083030000}"/>
    <cellStyle name="Total 10 2" xfId="895" xr:uid="{00000000-0005-0000-0000-000084030000}"/>
    <cellStyle name="Total 100" xfId="896" xr:uid="{00000000-0005-0000-0000-000085030000}"/>
    <cellStyle name="Total 101" xfId="897" xr:uid="{00000000-0005-0000-0000-000086030000}"/>
    <cellStyle name="Total 102" xfId="898" xr:uid="{00000000-0005-0000-0000-000087030000}"/>
    <cellStyle name="Total 103" xfId="899" xr:uid="{00000000-0005-0000-0000-000088030000}"/>
    <cellStyle name="Total 104" xfId="900" xr:uid="{00000000-0005-0000-0000-000089030000}"/>
    <cellStyle name="Total 105" xfId="901" xr:uid="{00000000-0005-0000-0000-00008A030000}"/>
    <cellStyle name="Total 106" xfId="902" xr:uid="{00000000-0005-0000-0000-00008B030000}"/>
    <cellStyle name="Total 107" xfId="903" xr:uid="{00000000-0005-0000-0000-00008C030000}"/>
    <cellStyle name="Total 108" xfId="904" xr:uid="{00000000-0005-0000-0000-00008D030000}"/>
    <cellStyle name="Total 109" xfId="905" xr:uid="{00000000-0005-0000-0000-00008E030000}"/>
    <cellStyle name="Total 11" xfId="906" xr:uid="{00000000-0005-0000-0000-00008F030000}"/>
    <cellStyle name="Total 11 2" xfId="907" xr:uid="{00000000-0005-0000-0000-000090030000}"/>
    <cellStyle name="Total 110" xfId="908" xr:uid="{00000000-0005-0000-0000-000091030000}"/>
    <cellStyle name="Total 111" xfId="909" xr:uid="{00000000-0005-0000-0000-000092030000}"/>
    <cellStyle name="Total 112" xfId="910" xr:uid="{00000000-0005-0000-0000-000093030000}"/>
    <cellStyle name="Total 113" xfId="911" xr:uid="{00000000-0005-0000-0000-000094030000}"/>
    <cellStyle name="Total 114" xfId="912" xr:uid="{00000000-0005-0000-0000-000095030000}"/>
    <cellStyle name="Total 115" xfId="913" xr:uid="{00000000-0005-0000-0000-000096030000}"/>
    <cellStyle name="Total 116" xfId="914" xr:uid="{00000000-0005-0000-0000-000097030000}"/>
    <cellStyle name="Total 117" xfId="915" xr:uid="{00000000-0005-0000-0000-000098030000}"/>
    <cellStyle name="Total 118" xfId="916" xr:uid="{00000000-0005-0000-0000-000099030000}"/>
    <cellStyle name="Total 12" xfId="917" xr:uid="{00000000-0005-0000-0000-00009A030000}"/>
    <cellStyle name="Total 12 2" xfId="918" xr:uid="{00000000-0005-0000-0000-00009B030000}"/>
    <cellStyle name="Total 13" xfId="919" xr:uid="{00000000-0005-0000-0000-00009C030000}"/>
    <cellStyle name="Total 13 2" xfId="920" xr:uid="{00000000-0005-0000-0000-00009D030000}"/>
    <cellStyle name="Total 14" xfId="921" xr:uid="{00000000-0005-0000-0000-00009E030000}"/>
    <cellStyle name="Total 14 2" xfId="922" xr:uid="{00000000-0005-0000-0000-00009F030000}"/>
    <cellStyle name="Total 15" xfId="923" xr:uid="{00000000-0005-0000-0000-0000A0030000}"/>
    <cellStyle name="Total 15 2" xfId="924" xr:uid="{00000000-0005-0000-0000-0000A1030000}"/>
    <cellStyle name="Total 16" xfId="925" xr:uid="{00000000-0005-0000-0000-0000A2030000}"/>
    <cellStyle name="Total 16 2" xfId="926" xr:uid="{00000000-0005-0000-0000-0000A3030000}"/>
    <cellStyle name="Total 17" xfId="927" xr:uid="{00000000-0005-0000-0000-0000A4030000}"/>
    <cellStyle name="Total 17 2" xfId="928" xr:uid="{00000000-0005-0000-0000-0000A5030000}"/>
    <cellStyle name="Total 18" xfId="929" xr:uid="{00000000-0005-0000-0000-0000A6030000}"/>
    <cellStyle name="Total 18 2" xfId="930" xr:uid="{00000000-0005-0000-0000-0000A7030000}"/>
    <cellStyle name="Total 19" xfId="931" xr:uid="{00000000-0005-0000-0000-0000A8030000}"/>
    <cellStyle name="Total 19 2" xfId="932" xr:uid="{00000000-0005-0000-0000-0000A9030000}"/>
    <cellStyle name="Total 2" xfId="933" xr:uid="{00000000-0005-0000-0000-0000AA030000}"/>
    <cellStyle name="Total 2 2" xfId="934" xr:uid="{00000000-0005-0000-0000-0000AB030000}"/>
    <cellStyle name="Total 20" xfId="935" xr:uid="{00000000-0005-0000-0000-0000AC030000}"/>
    <cellStyle name="Total 20 2" xfId="936" xr:uid="{00000000-0005-0000-0000-0000AD030000}"/>
    <cellStyle name="Total 21" xfId="937" xr:uid="{00000000-0005-0000-0000-0000AE030000}"/>
    <cellStyle name="Total 21 2" xfId="938" xr:uid="{00000000-0005-0000-0000-0000AF030000}"/>
    <cellStyle name="Total 22" xfId="939" xr:uid="{00000000-0005-0000-0000-0000B0030000}"/>
    <cellStyle name="Total 22 2" xfId="940" xr:uid="{00000000-0005-0000-0000-0000B1030000}"/>
    <cellStyle name="Total 23" xfId="941" xr:uid="{00000000-0005-0000-0000-0000B2030000}"/>
    <cellStyle name="Total 23 2" xfId="942" xr:uid="{00000000-0005-0000-0000-0000B3030000}"/>
    <cellStyle name="Total 24" xfId="943" xr:uid="{00000000-0005-0000-0000-0000B4030000}"/>
    <cellStyle name="Total 24 2" xfId="944" xr:uid="{00000000-0005-0000-0000-0000B5030000}"/>
    <cellStyle name="Total 25" xfId="945" xr:uid="{00000000-0005-0000-0000-0000B6030000}"/>
    <cellStyle name="Total 25 2" xfId="946" xr:uid="{00000000-0005-0000-0000-0000B7030000}"/>
    <cellStyle name="Total 26" xfId="947" xr:uid="{00000000-0005-0000-0000-0000B8030000}"/>
    <cellStyle name="Total 26 2" xfId="948" xr:uid="{00000000-0005-0000-0000-0000B9030000}"/>
    <cellStyle name="Total 27" xfId="949" xr:uid="{00000000-0005-0000-0000-0000BA030000}"/>
    <cellStyle name="Total 27 2" xfId="950" xr:uid="{00000000-0005-0000-0000-0000BB030000}"/>
    <cellStyle name="Total 28" xfId="951" xr:uid="{00000000-0005-0000-0000-0000BC030000}"/>
    <cellStyle name="Total 28 2" xfId="952" xr:uid="{00000000-0005-0000-0000-0000BD030000}"/>
    <cellStyle name="Total 29" xfId="953" xr:uid="{00000000-0005-0000-0000-0000BE030000}"/>
    <cellStyle name="Total 29 2" xfId="954" xr:uid="{00000000-0005-0000-0000-0000BF030000}"/>
    <cellStyle name="Total 3" xfId="955" xr:uid="{00000000-0005-0000-0000-0000C0030000}"/>
    <cellStyle name="Total 3 2" xfId="956" xr:uid="{00000000-0005-0000-0000-0000C1030000}"/>
    <cellStyle name="Total 30" xfId="957" xr:uid="{00000000-0005-0000-0000-0000C2030000}"/>
    <cellStyle name="Total 30 2" xfId="958" xr:uid="{00000000-0005-0000-0000-0000C3030000}"/>
    <cellStyle name="Total 31" xfId="959" xr:uid="{00000000-0005-0000-0000-0000C4030000}"/>
    <cellStyle name="Total 31 2" xfId="960" xr:uid="{00000000-0005-0000-0000-0000C5030000}"/>
    <cellStyle name="Total 32" xfId="961" xr:uid="{00000000-0005-0000-0000-0000C6030000}"/>
    <cellStyle name="Total 32 2" xfId="962" xr:uid="{00000000-0005-0000-0000-0000C7030000}"/>
    <cellStyle name="Total 33" xfId="963" xr:uid="{00000000-0005-0000-0000-0000C8030000}"/>
    <cellStyle name="Total 33 2" xfId="964" xr:uid="{00000000-0005-0000-0000-0000C9030000}"/>
    <cellStyle name="Total 34" xfId="965" xr:uid="{00000000-0005-0000-0000-0000CA030000}"/>
    <cellStyle name="Total 34 2" xfId="966" xr:uid="{00000000-0005-0000-0000-0000CB030000}"/>
    <cellStyle name="Total 35" xfId="967" xr:uid="{00000000-0005-0000-0000-0000CC030000}"/>
    <cellStyle name="Total 35 2" xfId="968" xr:uid="{00000000-0005-0000-0000-0000CD030000}"/>
    <cellStyle name="Total 36" xfId="969" xr:uid="{00000000-0005-0000-0000-0000CE030000}"/>
    <cellStyle name="Total 36 2" xfId="970" xr:uid="{00000000-0005-0000-0000-0000CF030000}"/>
    <cellStyle name="Total 37" xfId="971" xr:uid="{00000000-0005-0000-0000-0000D0030000}"/>
    <cellStyle name="Total 37 2" xfId="972" xr:uid="{00000000-0005-0000-0000-0000D1030000}"/>
    <cellStyle name="Total 38" xfId="973" xr:uid="{00000000-0005-0000-0000-0000D2030000}"/>
    <cellStyle name="Total 38 2" xfId="974" xr:uid="{00000000-0005-0000-0000-0000D3030000}"/>
    <cellStyle name="Total 39" xfId="975" xr:uid="{00000000-0005-0000-0000-0000D4030000}"/>
    <cellStyle name="Total 39 2" xfId="976" xr:uid="{00000000-0005-0000-0000-0000D5030000}"/>
    <cellStyle name="Total 4" xfId="977" xr:uid="{00000000-0005-0000-0000-0000D6030000}"/>
    <cellStyle name="Total 4 2" xfId="978" xr:uid="{00000000-0005-0000-0000-0000D7030000}"/>
    <cellStyle name="Total 40" xfId="979" xr:uid="{00000000-0005-0000-0000-0000D8030000}"/>
    <cellStyle name="Total 40 2" xfId="980" xr:uid="{00000000-0005-0000-0000-0000D9030000}"/>
    <cellStyle name="Total 41" xfId="981" xr:uid="{00000000-0005-0000-0000-0000DA030000}"/>
    <cellStyle name="Total 41 2" xfId="982" xr:uid="{00000000-0005-0000-0000-0000DB030000}"/>
    <cellStyle name="Total 42" xfId="983" xr:uid="{00000000-0005-0000-0000-0000DC030000}"/>
    <cellStyle name="Total 42 2" xfId="984" xr:uid="{00000000-0005-0000-0000-0000DD030000}"/>
    <cellStyle name="Total 43" xfId="985" xr:uid="{00000000-0005-0000-0000-0000DE030000}"/>
    <cellStyle name="Total 43 2" xfId="986" xr:uid="{00000000-0005-0000-0000-0000DF030000}"/>
    <cellStyle name="Total 44" xfId="987" xr:uid="{00000000-0005-0000-0000-0000E0030000}"/>
    <cellStyle name="Total 44 2" xfId="988" xr:uid="{00000000-0005-0000-0000-0000E1030000}"/>
    <cellStyle name="Total 45" xfId="989" xr:uid="{00000000-0005-0000-0000-0000E2030000}"/>
    <cellStyle name="Total 46" xfId="990" xr:uid="{00000000-0005-0000-0000-0000E3030000}"/>
    <cellStyle name="Total 47" xfId="991" xr:uid="{00000000-0005-0000-0000-0000E4030000}"/>
    <cellStyle name="Total 48" xfId="992" xr:uid="{00000000-0005-0000-0000-0000E5030000}"/>
    <cellStyle name="Total 49" xfId="993" xr:uid="{00000000-0005-0000-0000-0000E6030000}"/>
    <cellStyle name="Total 5" xfId="994" xr:uid="{00000000-0005-0000-0000-0000E7030000}"/>
    <cellStyle name="Total 5 2" xfId="995" xr:uid="{00000000-0005-0000-0000-0000E8030000}"/>
    <cellStyle name="Total 50" xfId="996" xr:uid="{00000000-0005-0000-0000-0000E9030000}"/>
    <cellStyle name="Total 51" xfId="997" xr:uid="{00000000-0005-0000-0000-0000EA030000}"/>
    <cellStyle name="Total 52" xfId="998" xr:uid="{00000000-0005-0000-0000-0000EB030000}"/>
    <cellStyle name="Total 53" xfId="999" xr:uid="{00000000-0005-0000-0000-0000EC030000}"/>
    <cellStyle name="Total 54" xfId="1000" xr:uid="{00000000-0005-0000-0000-0000ED030000}"/>
    <cellStyle name="Total 55" xfId="1001" xr:uid="{00000000-0005-0000-0000-0000EE030000}"/>
    <cellStyle name="Total 56" xfId="1002" xr:uid="{00000000-0005-0000-0000-0000EF030000}"/>
    <cellStyle name="Total 57" xfId="1003" xr:uid="{00000000-0005-0000-0000-0000F0030000}"/>
    <cellStyle name="Total 58" xfId="1004" xr:uid="{00000000-0005-0000-0000-0000F1030000}"/>
    <cellStyle name="Total 59" xfId="1005" xr:uid="{00000000-0005-0000-0000-0000F2030000}"/>
    <cellStyle name="Total 6" xfId="1006" xr:uid="{00000000-0005-0000-0000-0000F3030000}"/>
    <cellStyle name="Total 6 2" xfId="1007" xr:uid="{00000000-0005-0000-0000-0000F4030000}"/>
    <cellStyle name="Total 60" xfId="1008" xr:uid="{00000000-0005-0000-0000-0000F5030000}"/>
    <cellStyle name="Total 61" xfId="1009" xr:uid="{00000000-0005-0000-0000-0000F6030000}"/>
    <cellStyle name="Total 62" xfId="1010" xr:uid="{00000000-0005-0000-0000-0000F7030000}"/>
    <cellStyle name="Total 63" xfId="1011" xr:uid="{00000000-0005-0000-0000-0000F8030000}"/>
    <cellStyle name="Total 64" xfId="1012" xr:uid="{00000000-0005-0000-0000-0000F9030000}"/>
    <cellStyle name="Total 65" xfId="1013" xr:uid="{00000000-0005-0000-0000-0000FA030000}"/>
    <cellStyle name="Total 66" xfId="1014" xr:uid="{00000000-0005-0000-0000-0000FB030000}"/>
    <cellStyle name="Total 67" xfId="1015" xr:uid="{00000000-0005-0000-0000-0000FC030000}"/>
    <cellStyle name="Total 68" xfId="1016" xr:uid="{00000000-0005-0000-0000-0000FD030000}"/>
    <cellStyle name="Total 69" xfId="1017" xr:uid="{00000000-0005-0000-0000-0000FE030000}"/>
    <cellStyle name="Total 7" xfId="1018" xr:uid="{00000000-0005-0000-0000-0000FF030000}"/>
    <cellStyle name="Total 7 2" xfId="1019" xr:uid="{00000000-0005-0000-0000-000000040000}"/>
    <cellStyle name="Total 70" xfId="1020" xr:uid="{00000000-0005-0000-0000-000001040000}"/>
    <cellStyle name="Total 71" xfId="1021" xr:uid="{00000000-0005-0000-0000-000002040000}"/>
    <cellStyle name="Total 72" xfId="1022" xr:uid="{00000000-0005-0000-0000-000003040000}"/>
    <cellStyle name="Total 73" xfId="1023" xr:uid="{00000000-0005-0000-0000-000004040000}"/>
    <cellStyle name="Total 74" xfId="1024" xr:uid="{00000000-0005-0000-0000-000005040000}"/>
    <cellStyle name="Total 75" xfId="1025" xr:uid="{00000000-0005-0000-0000-000006040000}"/>
    <cellStyle name="Total 76" xfId="1026" xr:uid="{00000000-0005-0000-0000-000007040000}"/>
    <cellStyle name="Total 77" xfId="1027" xr:uid="{00000000-0005-0000-0000-000008040000}"/>
    <cellStyle name="Total 78" xfId="1028" xr:uid="{00000000-0005-0000-0000-000009040000}"/>
    <cellStyle name="Total 79" xfId="1029" xr:uid="{00000000-0005-0000-0000-00000A040000}"/>
    <cellStyle name="Total 8" xfId="1030" xr:uid="{00000000-0005-0000-0000-00000B040000}"/>
    <cellStyle name="Total 8 2" xfId="1031" xr:uid="{00000000-0005-0000-0000-00000C040000}"/>
    <cellStyle name="Total 80" xfId="1032" xr:uid="{00000000-0005-0000-0000-00000D040000}"/>
    <cellStyle name="Total 81" xfId="1033" xr:uid="{00000000-0005-0000-0000-00000E040000}"/>
    <cellStyle name="Total 82" xfId="1034" xr:uid="{00000000-0005-0000-0000-00000F040000}"/>
    <cellStyle name="Total 83" xfId="1035" xr:uid="{00000000-0005-0000-0000-000010040000}"/>
    <cellStyle name="Total 84" xfId="1036" xr:uid="{00000000-0005-0000-0000-000011040000}"/>
    <cellStyle name="Total 85" xfId="1037" xr:uid="{00000000-0005-0000-0000-000012040000}"/>
    <cellStyle name="Total 86" xfId="1038" xr:uid="{00000000-0005-0000-0000-000013040000}"/>
    <cellStyle name="Total 87" xfId="1039" xr:uid="{00000000-0005-0000-0000-000014040000}"/>
    <cellStyle name="Total 88" xfId="1040" xr:uid="{00000000-0005-0000-0000-000015040000}"/>
    <cellStyle name="Total 89" xfId="1041" xr:uid="{00000000-0005-0000-0000-000016040000}"/>
    <cellStyle name="Total 9" xfId="1042" xr:uid="{00000000-0005-0000-0000-000017040000}"/>
    <cellStyle name="Total 9 2" xfId="1043" xr:uid="{00000000-0005-0000-0000-000018040000}"/>
    <cellStyle name="Total 90" xfId="1044" xr:uid="{00000000-0005-0000-0000-000019040000}"/>
    <cellStyle name="Total 91" xfId="1045" xr:uid="{00000000-0005-0000-0000-00001A040000}"/>
    <cellStyle name="Total 92" xfId="1046" xr:uid="{00000000-0005-0000-0000-00001B040000}"/>
    <cellStyle name="Total 93" xfId="1047" xr:uid="{00000000-0005-0000-0000-00001C040000}"/>
    <cellStyle name="Total 94" xfId="1048" xr:uid="{00000000-0005-0000-0000-00001D040000}"/>
    <cellStyle name="Total 95" xfId="1049" xr:uid="{00000000-0005-0000-0000-00001E040000}"/>
    <cellStyle name="Total 96" xfId="1050" xr:uid="{00000000-0005-0000-0000-00001F040000}"/>
    <cellStyle name="Total 97" xfId="1051" xr:uid="{00000000-0005-0000-0000-000020040000}"/>
    <cellStyle name="Total 98" xfId="1052" xr:uid="{00000000-0005-0000-0000-000021040000}"/>
    <cellStyle name="Total 99" xfId="1053" xr:uid="{00000000-0005-0000-0000-000022040000}"/>
  </cellStyles>
  <dxfs count="0"/>
  <tableStyles count="0" defaultTableStyle="TableStyleMedium2" defaultPivotStyle="PivotStyleLight16"/>
  <colors>
    <mruColors>
      <color rgb="FFA92D29"/>
      <color rgb="FFB51B12"/>
      <color rgb="FFCCCCCC"/>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Tw Cen MT" panose="020B0602020104020603" pitchFamily="34" charset="0"/>
              </a:defRPr>
            </a:pPr>
            <a:r>
              <a:rPr lang="en-US" sz="1100" baseline="0">
                <a:latin typeface="Tw Cen MT" panose="020B0602020104020603" pitchFamily="34" charset="0"/>
              </a:rPr>
              <a:t>Total Retail Taxable Sales</a:t>
            </a:r>
          </a:p>
        </c:rich>
      </c:tx>
      <c:layout>
        <c:manualLayout>
          <c:xMode val="edge"/>
          <c:yMode val="edge"/>
          <c:x val="0.36300273786531406"/>
          <c:y val="3.4482747583381344E-2"/>
        </c:manualLayout>
      </c:layout>
      <c:overlay val="0"/>
      <c:spPr>
        <a:noFill/>
        <a:ln w="25400">
          <a:noFill/>
        </a:ln>
      </c:spPr>
    </c:title>
    <c:autoTitleDeleted val="0"/>
    <c:plotArea>
      <c:layout>
        <c:manualLayout>
          <c:layoutTarget val="inner"/>
          <c:xMode val="edge"/>
          <c:yMode val="edge"/>
          <c:x val="0.17482517482517482"/>
          <c:y val="0.12643678160919541"/>
          <c:w val="0.73659673659673663"/>
          <c:h val="0.65900383141762453"/>
        </c:manualLayout>
      </c:layout>
      <c:barChart>
        <c:barDir val="col"/>
        <c:grouping val="clustered"/>
        <c:varyColors val="0"/>
        <c:ser>
          <c:idx val="0"/>
          <c:order val="0"/>
          <c:spPr>
            <a:solidFill>
              <a:srgbClr val="A92D29"/>
            </a:solidFill>
            <a:ln>
              <a:solidFill>
                <a:schemeClr val="tx1"/>
              </a:solidFill>
            </a:ln>
          </c:spPr>
          <c:invertIfNegative val="0"/>
          <c:cat>
            <c:numRef>
              <c:extLst>
                <c:ext xmlns:c15="http://schemas.microsoft.com/office/drawing/2012/chart" uri="{02D57815-91ED-43cb-92C2-25804820EDAC}">
                  <c15:fullRef>
                    <c15:sqref>'Lafayette Parish Retail Sales'!$A$378:$A$389</c15:sqref>
                  </c15:fullRef>
                </c:ext>
              </c:extLst>
              <c:f>'Lafayette Parish Retail Sales'!$A$379:$A$389</c:f>
              <c:numCache>
                <c:formatCode>General</c:formatCode>
                <c:ptCount val="11"/>
                <c:pt idx="0">
                  <c:v>214168</c:v>
                </c:pt>
                <c:pt idx="1">
                  <c:v>2015</c:v>
                </c:pt>
                <c:pt idx="2">
                  <c:v>2016</c:v>
                </c:pt>
                <c:pt idx="3">
                  <c:v>2017</c:v>
                </c:pt>
                <c:pt idx="4">
                  <c:v>2018</c:v>
                </c:pt>
                <c:pt idx="5">
                  <c:v>2019</c:v>
                </c:pt>
                <c:pt idx="6">
                  <c:v>2020</c:v>
                </c:pt>
                <c:pt idx="7">
                  <c:v>2021</c:v>
                </c:pt>
                <c:pt idx="8">
                  <c:v>2022</c:v>
                </c:pt>
                <c:pt idx="9">
                  <c:v>2023</c:v>
                </c:pt>
                <c:pt idx="10">
                  <c:v>2024</c:v>
                </c:pt>
              </c:numCache>
            </c:numRef>
          </c:cat>
          <c:val>
            <c:numRef>
              <c:extLst>
                <c:ext xmlns:c15="http://schemas.microsoft.com/office/drawing/2012/chart" uri="{02D57815-91ED-43cb-92C2-25804820EDAC}">
                  <c15:fullRef>
                    <c15:sqref>'Lafayette Parish Retail Sales'!$B$378:$B$389</c15:sqref>
                  </c15:fullRef>
                </c:ext>
              </c:extLst>
              <c:f>'Lafayette Parish Retail Sales'!$B$379:$B$389</c:f>
              <c:numCache>
                <c:formatCode>"$"#,##0</c:formatCode>
                <c:ptCount val="11"/>
                <c:pt idx="0">
                  <c:v>6411543250</c:v>
                </c:pt>
                <c:pt idx="1">
                  <c:v>6006656784</c:v>
                </c:pt>
                <c:pt idx="2">
                  <c:v>5778293947</c:v>
                </c:pt>
                <c:pt idx="3">
                  <c:v>5815651079</c:v>
                </c:pt>
                <c:pt idx="4">
                  <c:v>6048768442</c:v>
                </c:pt>
                <c:pt idx="5">
                  <c:v>6340622737</c:v>
                </c:pt>
                <c:pt idx="6">
                  <c:v>6425064749</c:v>
                </c:pt>
                <c:pt idx="7">
                  <c:v>7694821723</c:v>
                </c:pt>
                <c:pt idx="8">
                  <c:v>8203716329.5</c:v>
                </c:pt>
                <c:pt idx="9">
                  <c:v>8458541337</c:v>
                </c:pt>
                <c:pt idx="10">
                  <c:v>8587048241</c:v>
                </c:pt>
              </c:numCache>
            </c:numRef>
          </c:val>
          <c:extLst>
            <c:ext xmlns:c16="http://schemas.microsoft.com/office/drawing/2014/chart" uri="{C3380CC4-5D6E-409C-BE32-E72D297353CC}">
              <c16:uniqueId val="{00000000-CC2D-47CC-A97F-9C0842F44DFA}"/>
            </c:ext>
          </c:extLst>
        </c:ser>
        <c:dLbls>
          <c:showLegendKey val="0"/>
          <c:showVal val="0"/>
          <c:showCatName val="0"/>
          <c:showSerName val="0"/>
          <c:showPercent val="0"/>
          <c:showBubbleSize val="0"/>
        </c:dLbls>
        <c:gapWidth val="150"/>
        <c:axId val="112397696"/>
        <c:axId val="112436736"/>
      </c:barChart>
      <c:catAx>
        <c:axId val="112397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baseline="0">
                <a:latin typeface="Tw Cen MT" panose="020B0602020104020603" pitchFamily="34" charset="0"/>
              </a:defRPr>
            </a:pPr>
            <a:endParaRPr lang="en-US"/>
          </a:p>
        </c:txPr>
        <c:crossAx val="112436736"/>
        <c:crosses val="autoZero"/>
        <c:auto val="0"/>
        <c:lblAlgn val="ctr"/>
        <c:lblOffset val="100"/>
        <c:tickLblSkip val="1"/>
        <c:tickMarkSkip val="1"/>
        <c:noMultiLvlLbl val="0"/>
      </c:catAx>
      <c:valAx>
        <c:axId val="1124367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baseline="0">
                <a:latin typeface="Tw Cen MT" panose="020B0602020104020603" pitchFamily="34" charset="0"/>
              </a:defRPr>
            </a:pPr>
            <a:endParaRPr lang="en-US"/>
          </a:p>
        </c:txPr>
        <c:crossAx val="112397696"/>
        <c:crosses val="autoZero"/>
        <c:crossBetween val="between"/>
        <c:dispUnits>
          <c:builtInUnit val="tenMillions"/>
          <c:dispUnitsLbl>
            <c:layout>
              <c:manualLayout>
                <c:xMode val="edge"/>
                <c:yMode val="edge"/>
                <c:x val="3.2441404730069116E-2"/>
                <c:y val="0.3883749439856603"/>
              </c:manualLayout>
            </c:layout>
            <c:tx>
              <c:rich>
                <a:bodyPr rot="-5400000" vert="horz"/>
                <a:lstStyle/>
                <a:p>
                  <a:pPr algn="ctr">
                    <a:defRPr baseline="0">
                      <a:latin typeface="Tw Cen MT" panose="020B0602020104020603" pitchFamily="34" charset="0"/>
                    </a:defRPr>
                  </a:pPr>
                  <a:r>
                    <a:rPr lang="en-US" baseline="0">
                      <a:latin typeface="Tw Cen MT" panose="020B0602020104020603" pitchFamily="34" charset="0"/>
                    </a:rPr>
                    <a:t>Millions</a:t>
                  </a:r>
                </a:p>
              </c:rich>
            </c:tx>
            <c:spPr>
              <a:noFill/>
              <a:ln w="25400">
                <a:noFill/>
              </a:ln>
            </c:spPr>
          </c:dispUnitsLbl>
        </c:dispUnits>
      </c:valAx>
      <c:spPr>
        <a:solidFill>
          <a:srgbClr val="CCCCCC"/>
        </a:solidFill>
        <a:ln w="12700">
          <a:solidFill>
            <a:srgbClr val="C4D8E2"/>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panose="020B0604020202020204" pitchFamily="34" charset="0"/>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aseline="0">
                <a:latin typeface="Tw Cen MT" panose="020B0602020104020603" pitchFamily="34" charset="0"/>
              </a:defRPr>
            </a:pPr>
            <a:r>
              <a:rPr lang="en-US" sz="1100" baseline="0">
                <a:latin typeface="Tw Cen MT" panose="020B0602020104020603" pitchFamily="34" charset="0"/>
              </a:rPr>
              <a:t>Retail Sales Distribution</a:t>
            </a:r>
          </a:p>
        </c:rich>
      </c:tx>
      <c:layout>
        <c:manualLayout>
          <c:xMode val="edge"/>
          <c:yMode val="edge"/>
          <c:x val="0.30487147905394507"/>
          <c:y val="3.1781172835784501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6.0694686501697348E-2"/>
          <c:y val="0.29177254056414526"/>
          <c:w val="0.71861383410519175"/>
          <c:h val="0.53431413993604782"/>
        </c:manualLayout>
      </c:layout>
      <c:pie3DChart>
        <c:varyColors val="1"/>
        <c:ser>
          <c:idx val="0"/>
          <c:order val="0"/>
          <c:tx>
            <c:strRef>
              <c:f>'City of Lafayette by Category'!$L$181:$S$181</c:f>
              <c:strCache>
                <c:ptCount val="8"/>
                <c:pt idx="0">
                  <c:v>23.0%</c:v>
                </c:pt>
                <c:pt idx="1">
                  <c:v>4.6%</c:v>
                </c:pt>
                <c:pt idx="2">
                  <c:v>29.5%</c:v>
                </c:pt>
                <c:pt idx="3">
                  <c:v>9.6%</c:v>
                </c:pt>
                <c:pt idx="4">
                  <c:v>4.1%</c:v>
                </c:pt>
                <c:pt idx="5">
                  <c:v>7.5%</c:v>
                </c:pt>
                <c:pt idx="6">
                  <c:v>9.9%</c:v>
                </c:pt>
                <c:pt idx="7">
                  <c:v>11.8%</c:v>
                </c:pt>
              </c:strCache>
            </c:strRef>
          </c:tx>
          <c:dLbls>
            <c:dLbl>
              <c:idx val="0"/>
              <c:layout>
                <c:manualLayout>
                  <c:x val="-3.8868588575805989E-2"/>
                  <c:y val="-2.398534671900844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40-4B44-8C86-55D4A9B05143}"/>
                </c:ext>
              </c:extLst>
            </c:dLbl>
            <c:dLbl>
              <c:idx val="1"/>
              <c:layout>
                <c:manualLayout>
                  <c:x val="-1.0697047367423426E-2"/>
                  <c:y val="-0.1594117459754272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640-4CD3-86BE-DA2E85846416}"/>
                </c:ext>
              </c:extLst>
            </c:dLbl>
            <c:dLbl>
              <c:idx val="2"/>
              <c:layout>
                <c:manualLayout>
                  <c:x val="-4.1839896657507515E-2"/>
                  <c:y val="1.61398369397931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40-4B44-8C86-55D4A9B05143}"/>
                </c:ext>
              </c:extLst>
            </c:dLbl>
            <c:dLbl>
              <c:idx val="3"/>
              <c:layout>
                <c:manualLayout>
                  <c:x val="3.7709022623625146E-2"/>
                  <c:y val="1.371821101390853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40-4B44-8C86-55D4A9B05143}"/>
                </c:ext>
              </c:extLst>
            </c:dLbl>
            <c:dLbl>
              <c:idx val="5"/>
              <c:layout>
                <c:manualLayout>
                  <c:x val="1.5552430890250317E-2"/>
                  <c:y val="-0.1260492110806889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40-4B44-8C86-55D4A9B05143}"/>
                </c:ext>
              </c:extLst>
            </c:dLbl>
            <c:dLbl>
              <c:idx val="6"/>
              <c:layout>
                <c:manualLayout>
                  <c:x val="2.2789723715904556E-2"/>
                  <c:y val="-1.232735749974198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40-4B44-8C86-55D4A9B05143}"/>
                </c:ext>
              </c:extLst>
            </c:dLbl>
            <c:dLbl>
              <c:idx val="7"/>
              <c:layout>
                <c:manualLayout>
                  <c:x val="4.0499182885158191E-2"/>
                  <c:y val="-8.630151955754917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17-42FA-92C0-76A0ADD4C708}"/>
                </c:ext>
              </c:extLst>
            </c:dLbl>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'City of Lafayette by Category'!$L$184:$S$184</c:f>
              <c:strCache>
                <c:ptCount val="8"/>
                <c:pt idx="0">
                  <c:v>Food</c:v>
                </c:pt>
                <c:pt idx="1">
                  <c:v>Apparel</c:v>
                </c:pt>
                <c:pt idx="2">
                  <c:v>Gen.Merch.</c:v>
                </c:pt>
                <c:pt idx="3">
                  <c:v>Auto</c:v>
                </c:pt>
                <c:pt idx="4">
                  <c:v>Furniture</c:v>
                </c:pt>
                <c:pt idx="5">
                  <c:v>Build Materials</c:v>
                </c:pt>
                <c:pt idx="6">
                  <c:v>Service</c:v>
                </c:pt>
                <c:pt idx="7">
                  <c:v>Other</c:v>
                </c:pt>
              </c:strCache>
            </c:strRef>
          </c:cat>
          <c:val>
            <c:numRef>
              <c:f>'City of Lafayette by Category'!$L$181:$S$181</c:f>
              <c:numCache>
                <c:formatCode>0.0%</c:formatCode>
                <c:ptCount val="8"/>
                <c:pt idx="0">
                  <c:v>0.23028715526139476</c:v>
                </c:pt>
                <c:pt idx="1">
                  <c:v>4.5702661285218917E-2</c:v>
                </c:pt>
                <c:pt idx="2">
                  <c:v>0.29540952603163795</c:v>
                </c:pt>
                <c:pt idx="3">
                  <c:v>9.5517996437181341E-2</c:v>
                </c:pt>
                <c:pt idx="4">
                  <c:v>4.1025713942175877E-2</c:v>
                </c:pt>
                <c:pt idx="5">
                  <c:v>7.5274592169240595E-2</c:v>
                </c:pt>
                <c:pt idx="6">
                  <c:v>9.9149109160336035E-2</c:v>
                </c:pt>
                <c:pt idx="7">
                  <c:v>0.11763324571281442</c:v>
                </c:pt>
              </c:numCache>
            </c:numRef>
          </c:val>
          <c:extLst>
            <c:ext xmlns:c16="http://schemas.microsoft.com/office/drawing/2014/chart" uri="{C3380CC4-5D6E-409C-BE32-E72D297353CC}">
              <c16:uniqueId val="{00000000-5C00-45AD-BF9A-0250A634EDD5}"/>
            </c:ext>
          </c:extLst>
        </c:ser>
        <c:dLbls>
          <c:dLblPos val="bestFit"/>
          <c:showLegendKey val="0"/>
          <c:showVal val="1"/>
          <c:showCatName val="0"/>
          <c:showSerName val="0"/>
          <c:showPercent val="0"/>
          <c:showBubbleSize val="0"/>
          <c:showLeaderLines val="1"/>
        </c:dLbls>
      </c:pie3DChart>
      <c:spPr>
        <a:noFill/>
        <a:ln w="25400">
          <a:noFill/>
        </a:ln>
      </c:spPr>
    </c:plotArea>
    <c:legend>
      <c:legendPos val="r"/>
      <c:legendEntry>
        <c:idx val="0"/>
        <c:txPr>
          <a:bodyPr/>
          <a:lstStyle/>
          <a:p>
            <a:pPr rtl="0">
              <a:defRPr baseline="0">
                <a:latin typeface="Tw Cen MT" panose="020B0602020104020603" pitchFamily="34" charset="0"/>
              </a:defRPr>
            </a:pPr>
            <a:endParaRPr lang="en-US"/>
          </a:p>
        </c:txPr>
      </c:legendEntry>
      <c:legendEntry>
        <c:idx val="1"/>
        <c:txPr>
          <a:bodyPr/>
          <a:lstStyle/>
          <a:p>
            <a:pPr rtl="0">
              <a:defRPr baseline="0">
                <a:latin typeface="Tw Cen MT" panose="020B0602020104020603" pitchFamily="34" charset="0"/>
              </a:defRPr>
            </a:pPr>
            <a:endParaRPr lang="en-US"/>
          </a:p>
        </c:txPr>
      </c:legendEntry>
      <c:legendEntry>
        <c:idx val="2"/>
        <c:txPr>
          <a:bodyPr/>
          <a:lstStyle/>
          <a:p>
            <a:pPr rtl="0">
              <a:defRPr baseline="0">
                <a:latin typeface="Tw Cen MT" panose="020B0602020104020603" pitchFamily="34" charset="0"/>
              </a:defRPr>
            </a:pPr>
            <a:endParaRPr lang="en-US"/>
          </a:p>
        </c:txPr>
      </c:legendEntry>
      <c:legendEntry>
        <c:idx val="3"/>
        <c:txPr>
          <a:bodyPr/>
          <a:lstStyle/>
          <a:p>
            <a:pPr rtl="0">
              <a:defRPr baseline="0">
                <a:latin typeface="Tw Cen MT" panose="020B0602020104020603" pitchFamily="34" charset="0"/>
              </a:defRPr>
            </a:pPr>
            <a:endParaRPr lang="en-US"/>
          </a:p>
        </c:txPr>
      </c:legendEntry>
      <c:legendEntry>
        <c:idx val="4"/>
        <c:txPr>
          <a:bodyPr/>
          <a:lstStyle/>
          <a:p>
            <a:pPr rtl="0">
              <a:defRPr baseline="0">
                <a:latin typeface="Tw Cen MT" panose="020B0602020104020603" pitchFamily="34" charset="0"/>
              </a:defRPr>
            </a:pPr>
            <a:endParaRPr lang="en-US"/>
          </a:p>
        </c:txPr>
      </c:legendEntry>
      <c:legendEntry>
        <c:idx val="5"/>
        <c:txPr>
          <a:bodyPr/>
          <a:lstStyle/>
          <a:p>
            <a:pPr rtl="0">
              <a:defRPr baseline="0">
                <a:latin typeface="Tw Cen MT" panose="020B0602020104020603" pitchFamily="34" charset="0"/>
              </a:defRPr>
            </a:pPr>
            <a:endParaRPr lang="en-US"/>
          </a:p>
        </c:txPr>
      </c:legendEntry>
      <c:legendEntry>
        <c:idx val="6"/>
        <c:txPr>
          <a:bodyPr/>
          <a:lstStyle/>
          <a:p>
            <a:pPr rtl="0">
              <a:defRPr baseline="0">
                <a:latin typeface="Tw Cen MT" panose="020B0602020104020603" pitchFamily="34" charset="0"/>
              </a:defRPr>
            </a:pPr>
            <a:endParaRPr lang="en-US"/>
          </a:p>
        </c:txPr>
      </c:legendEntry>
      <c:layout>
        <c:manualLayout>
          <c:xMode val="edge"/>
          <c:yMode val="edge"/>
          <c:x val="0.8189302341702932"/>
          <c:y val="0.1032635723166183"/>
          <c:w val="0.15297194626852342"/>
          <c:h val="0.80262326458522448"/>
        </c:manualLayout>
      </c:layout>
      <c:overlay val="0"/>
      <c:txPr>
        <a:bodyPr/>
        <a:lstStyle/>
        <a:p>
          <a:pPr rtl="0">
            <a:defRPr baseline="0">
              <a:latin typeface="Tw Cen MT" panose="020B0602020104020603" pitchFamily="34" charset="0"/>
            </a:defRPr>
          </a:pPr>
          <a:endParaRPr lang="en-US"/>
        </a:p>
      </c:txPr>
    </c:legend>
    <c:plotVisOnly val="1"/>
    <c:dispBlanksAs val="zero"/>
    <c:showDLblsOverMax val="0"/>
  </c:chart>
  <c:spPr>
    <a:ln>
      <a:noFill/>
    </a:ln>
  </c:spPr>
  <c:txPr>
    <a:bodyPr/>
    <a:lstStyle/>
    <a:p>
      <a:pPr>
        <a:defRPr sz="1000" b="0" i="0" u="none" strike="noStrike" baseline="0">
          <a:solidFill>
            <a:srgbClr val="000000"/>
          </a:solidFill>
          <a:latin typeface="Arial" panose="020B0604020202020204" pitchFamily="34" charset="0"/>
          <a:ea typeface="Calibri"/>
          <a:cs typeface="Calibri"/>
        </a:defRPr>
      </a:pPr>
      <a:endParaRPr lang="en-US"/>
    </a:p>
  </c:txPr>
  <c:printSettings>
    <c:headerFooter alignWithMargins="0"/>
    <c:pageMargins b="0.75"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xdr:col>
      <xdr:colOff>78105</xdr:colOff>
      <xdr:row>22</xdr:row>
      <xdr:rowOff>8255</xdr:rowOff>
    </xdr:from>
    <xdr:to>
      <xdr:col>8</xdr:col>
      <xdr:colOff>592455</xdr:colOff>
      <xdr:row>40</xdr:row>
      <xdr:rowOff>46355</xdr:rowOff>
    </xdr:to>
    <xdr:graphicFrame macro="">
      <xdr:nvGraphicFramePr>
        <xdr:cNvPr id="3" name="Chart 5">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390525</xdr:colOff>
      <xdr:row>1</xdr:row>
      <xdr:rowOff>198120</xdr:rowOff>
    </xdr:from>
    <xdr:to>
      <xdr:col>14</xdr:col>
      <xdr:colOff>465455</xdr:colOff>
      <xdr:row>17</xdr:row>
      <xdr:rowOff>152400</xdr:rowOff>
    </xdr:to>
    <xdr:graphicFrame macro="">
      <xdr:nvGraphicFramePr>
        <xdr:cNvPr id="4" name="Chart 1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M410"/>
  <sheetViews>
    <sheetView tabSelected="1" zoomScaleNormal="100" workbookViewId="0">
      <pane ySplit="1" topLeftCell="A346" activePane="bottomLeft" state="frozen"/>
      <selection pane="bottomLeft" activeCell="G366" sqref="G366"/>
    </sheetView>
  </sheetViews>
  <sheetFormatPr defaultColWidth="8.81640625" defaultRowHeight="13" x14ac:dyDescent="0.3"/>
  <cols>
    <col min="1" max="1" width="11" style="256" bestFit="1" customWidth="1"/>
    <col min="2" max="2" width="20.453125" style="221" customWidth="1"/>
    <col min="3" max="5" width="16.54296875" style="221" customWidth="1"/>
    <col min="6" max="6" width="20.453125" style="221" customWidth="1"/>
    <col min="7" max="7" width="16.54296875" style="221" customWidth="1"/>
    <col min="8" max="9" width="16.453125" style="174" customWidth="1"/>
    <col min="10" max="10" width="14" style="174" bestFit="1" customWidth="1"/>
    <col min="11" max="11" width="19" style="182" bestFit="1" customWidth="1"/>
    <col min="12" max="12" width="18.453125" style="182" customWidth="1"/>
    <col min="13" max="13" width="16.81640625" style="182" customWidth="1"/>
    <col min="14" max="14" width="20.453125" style="182" customWidth="1"/>
    <col min="15" max="15" width="13.81640625" style="182" customWidth="1"/>
    <col min="16" max="16" width="13.453125" style="174" customWidth="1"/>
    <col min="17" max="17" width="15.54296875" style="174" customWidth="1"/>
    <col min="18" max="18" width="13.54296875" style="174" bestFit="1" customWidth="1"/>
    <col min="19" max="19" width="12.54296875" style="174" bestFit="1" customWidth="1"/>
    <col min="20" max="23" width="11.1796875" style="174" bestFit="1" customWidth="1"/>
    <col min="24" max="26" width="10.1796875" style="174" bestFit="1" customWidth="1"/>
    <col min="27" max="16384" width="8.81640625" style="174"/>
  </cols>
  <sheetData>
    <row r="1" spans="1:17" s="217" customFormat="1" ht="46.75" customHeight="1" x14ac:dyDescent="0.25">
      <c r="A1" s="213" t="s">
        <v>0</v>
      </c>
      <c r="B1" s="214" t="s">
        <v>1</v>
      </c>
      <c r="C1" s="215" t="s">
        <v>2</v>
      </c>
      <c r="D1" s="216" t="s">
        <v>3</v>
      </c>
      <c r="E1" s="216" t="s">
        <v>4</v>
      </c>
      <c r="F1" s="216" t="s">
        <v>5</v>
      </c>
      <c r="G1" s="216" t="s">
        <v>6</v>
      </c>
      <c r="H1" s="216" t="s">
        <v>7</v>
      </c>
      <c r="I1" s="214" t="s">
        <v>8</v>
      </c>
      <c r="K1" s="218" t="s">
        <v>2</v>
      </c>
      <c r="L1" s="219" t="s">
        <v>3</v>
      </c>
      <c r="M1" s="219" t="s">
        <v>4</v>
      </c>
      <c r="N1" s="219" t="s">
        <v>5</v>
      </c>
      <c r="O1" s="219" t="s">
        <v>6</v>
      </c>
      <c r="P1" s="219" t="s">
        <v>7</v>
      </c>
      <c r="Q1" s="219" t="s">
        <v>8</v>
      </c>
    </row>
    <row r="2" spans="1:17" x14ac:dyDescent="0.3">
      <c r="A2" s="220">
        <v>35431</v>
      </c>
      <c r="B2" s="11">
        <v>243117069</v>
      </c>
      <c r="C2" s="9"/>
      <c r="D2" s="10"/>
      <c r="E2" s="10"/>
      <c r="F2" s="10"/>
      <c r="G2" s="10"/>
      <c r="H2" s="10"/>
      <c r="I2" s="11"/>
      <c r="J2" s="221"/>
      <c r="K2" s="175"/>
      <c r="L2" s="175"/>
      <c r="M2" s="175"/>
      <c r="N2" s="175"/>
      <c r="O2" s="175"/>
      <c r="P2" s="175"/>
      <c r="Q2" s="175"/>
    </row>
    <row r="3" spans="1:17" x14ac:dyDescent="0.3">
      <c r="A3" s="220">
        <v>35462</v>
      </c>
      <c r="B3" s="11">
        <v>218232941</v>
      </c>
      <c r="C3" s="9"/>
      <c r="D3" s="10"/>
      <c r="E3" s="10"/>
      <c r="F3" s="10"/>
      <c r="G3" s="10"/>
      <c r="H3" s="10"/>
      <c r="I3" s="11"/>
      <c r="J3" s="221"/>
      <c r="K3" s="175"/>
      <c r="L3" s="175"/>
      <c r="M3" s="175"/>
      <c r="N3" s="175"/>
      <c r="O3" s="175"/>
      <c r="P3" s="175"/>
      <c r="Q3" s="175"/>
    </row>
    <row r="4" spans="1:17" x14ac:dyDescent="0.3">
      <c r="A4" s="220">
        <v>35490</v>
      </c>
      <c r="B4" s="11">
        <v>254397494</v>
      </c>
      <c r="C4" s="9"/>
      <c r="D4" s="10"/>
      <c r="E4" s="10"/>
      <c r="F4" s="10"/>
      <c r="G4" s="10"/>
      <c r="H4" s="10"/>
      <c r="I4" s="11"/>
      <c r="J4" s="221"/>
      <c r="K4" s="175"/>
      <c r="L4" s="175"/>
      <c r="M4" s="175"/>
      <c r="N4" s="175"/>
      <c r="O4" s="175"/>
      <c r="P4" s="175"/>
      <c r="Q4" s="175"/>
    </row>
    <row r="5" spans="1:17" x14ac:dyDescent="0.3">
      <c r="A5" s="220">
        <v>35521</v>
      </c>
      <c r="B5" s="11">
        <v>253312608</v>
      </c>
      <c r="C5" s="9"/>
      <c r="D5" s="10"/>
      <c r="E5" s="10"/>
      <c r="F5" s="10"/>
      <c r="G5" s="10"/>
      <c r="H5" s="10"/>
      <c r="I5" s="11"/>
      <c r="J5" s="221"/>
      <c r="K5" s="175"/>
      <c r="L5" s="175"/>
      <c r="M5" s="175"/>
      <c r="N5" s="175"/>
      <c r="O5" s="175"/>
      <c r="P5" s="175"/>
      <c r="Q5" s="175"/>
    </row>
    <row r="6" spans="1:17" x14ac:dyDescent="0.3">
      <c r="A6" s="220">
        <v>35551</v>
      </c>
      <c r="B6" s="11">
        <v>266481619</v>
      </c>
      <c r="C6" s="9"/>
      <c r="D6" s="10"/>
      <c r="E6" s="10"/>
      <c r="F6" s="10"/>
      <c r="G6" s="10"/>
      <c r="H6" s="10"/>
      <c r="I6" s="11"/>
      <c r="J6" s="221"/>
      <c r="K6" s="175"/>
      <c r="L6" s="175"/>
      <c r="M6" s="175"/>
      <c r="N6" s="175"/>
      <c r="O6" s="175"/>
      <c r="P6" s="175"/>
      <c r="Q6" s="175"/>
    </row>
    <row r="7" spans="1:17" x14ac:dyDescent="0.3">
      <c r="A7" s="220">
        <v>35582</v>
      </c>
      <c r="B7" s="11">
        <v>266796911</v>
      </c>
      <c r="C7" s="9"/>
      <c r="D7" s="10"/>
      <c r="E7" s="10"/>
      <c r="F7" s="10"/>
      <c r="G7" s="10"/>
      <c r="H7" s="10"/>
      <c r="I7" s="11"/>
      <c r="J7" s="221"/>
      <c r="K7" s="175"/>
      <c r="L7" s="175"/>
      <c r="M7" s="175"/>
      <c r="N7" s="175"/>
      <c r="O7" s="175"/>
      <c r="P7" s="175"/>
      <c r="Q7" s="175"/>
    </row>
    <row r="8" spans="1:17" x14ac:dyDescent="0.3">
      <c r="A8" s="220">
        <v>35612</v>
      </c>
      <c r="B8" s="11">
        <v>262135365</v>
      </c>
      <c r="C8" s="9"/>
      <c r="D8" s="10"/>
      <c r="E8" s="10"/>
      <c r="F8" s="10"/>
      <c r="G8" s="10"/>
      <c r="H8" s="10"/>
      <c r="I8" s="11"/>
      <c r="J8" s="221"/>
      <c r="K8" s="175"/>
      <c r="L8" s="175"/>
      <c r="M8" s="175"/>
      <c r="N8" s="175"/>
      <c r="O8" s="175"/>
      <c r="P8" s="175"/>
      <c r="Q8" s="175"/>
    </row>
    <row r="9" spans="1:17" x14ac:dyDescent="0.3">
      <c r="A9" s="220">
        <v>35643</v>
      </c>
      <c r="B9" s="11">
        <v>275605560</v>
      </c>
      <c r="C9" s="9"/>
      <c r="D9" s="10"/>
      <c r="E9" s="10"/>
      <c r="F9" s="10"/>
      <c r="G9" s="10"/>
      <c r="H9" s="10"/>
      <c r="I9" s="11"/>
      <c r="J9" s="221"/>
      <c r="K9" s="175"/>
      <c r="L9" s="175"/>
      <c r="M9" s="175"/>
      <c r="N9" s="175"/>
      <c r="O9" s="175"/>
      <c r="P9" s="175"/>
      <c r="Q9" s="175"/>
    </row>
    <row r="10" spans="1:17" x14ac:dyDescent="0.3">
      <c r="A10" s="220">
        <v>35674</v>
      </c>
      <c r="B10" s="11">
        <v>263524670</v>
      </c>
      <c r="C10" s="9"/>
      <c r="D10" s="10"/>
      <c r="E10" s="10"/>
      <c r="F10" s="10"/>
      <c r="G10" s="10"/>
      <c r="H10" s="10"/>
      <c r="I10" s="11"/>
      <c r="J10" s="221"/>
      <c r="K10" s="175"/>
      <c r="L10" s="175"/>
      <c r="M10" s="175"/>
      <c r="N10" s="175"/>
      <c r="O10" s="175"/>
      <c r="P10" s="175"/>
      <c r="Q10" s="175"/>
    </row>
    <row r="11" spans="1:17" x14ac:dyDescent="0.3">
      <c r="A11" s="220">
        <v>35704</v>
      </c>
      <c r="B11" s="11">
        <v>279647985</v>
      </c>
      <c r="C11" s="9"/>
      <c r="D11" s="10"/>
      <c r="E11" s="10"/>
      <c r="F11" s="10"/>
      <c r="G11" s="10"/>
      <c r="H11" s="10"/>
      <c r="I11" s="11"/>
      <c r="J11" s="221"/>
      <c r="K11" s="175"/>
      <c r="L11" s="175"/>
      <c r="M11" s="175"/>
      <c r="N11" s="175"/>
      <c r="O11" s="175"/>
      <c r="P11" s="175"/>
      <c r="Q11" s="175"/>
    </row>
    <row r="12" spans="1:17" x14ac:dyDescent="0.3">
      <c r="A12" s="220">
        <v>35735</v>
      </c>
      <c r="B12" s="11">
        <v>258128071</v>
      </c>
      <c r="C12" s="9"/>
      <c r="D12" s="10"/>
      <c r="E12" s="10"/>
      <c r="F12" s="10"/>
      <c r="G12" s="10"/>
      <c r="H12" s="10"/>
      <c r="I12" s="11"/>
      <c r="J12" s="221"/>
      <c r="K12" s="175"/>
      <c r="L12" s="175"/>
      <c r="M12" s="175"/>
      <c r="N12" s="175"/>
      <c r="O12" s="175"/>
      <c r="P12" s="175"/>
      <c r="Q12" s="175"/>
    </row>
    <row r="13" spans="1:17" x14ac:dyDescent="0.3">
      <c r="A13" s="220">
        <v>35765</v>
      </c>
      <c r="B13" s="11">
        <v>325770424</v>
      </c>
      <c r="C13" s="9"/>
      <c r="D13" s="10"/>
      <c r="E13" s="10"/>
      <c r="F13" s="10"/>
      <c r="G13" s="10"/>
      <c r="H13" s="10"/>
      <c r="I13" s="11"/>
      <c r="J13" s="221"/>
      <c r="K13" s="175"/>
      <c r="L13" s="175"/>
      <c r="M13" s="175"/>
      <c r="N13" s="175"/>
      <c r="O13" s="175"/>
      <c r="P13" s="175"/>
      <c r="Q13" s="175"/>
    </row>
    <row r="14" spans="1:17" x14ac:dyDescent="0.3">
      <c r="A14" s="220">
        <v>35796</v>
      </c>
      <c r="B14" s="222">
        <v>265091520</v>
      </c>
      <c r="C14" s="9"/>
      <c r="D14" s="10"/>
      <c r="E14" s="10"/>
      <c r="F14" s="10"/>
      <c r="G14" s="10"/>
      <c r="H14" s="10"/>
      <c r="I14" s="11"/>
      <c r="J14" s="221"/>
      <c r="K14" s="175"/>
      <c r="L14" s="175"/>
      <c r="M14" s="175"/>
      <c r="N14" s="175"/>
      <c r="O14" s="175"/>
      <c r="P14" s="175"/>
      <c r="Q14" s="175"/>
    </row>
    <row r="15" spans="1:17" x14ac:dyDescent="0.3">
      <c r="A15" s="220">
        <v>35827</v>
      </c>
      <c r="B15" s="222">
        <v>240996540</v>
      </c>
      <c r="C15" s="9"/>
      <c r="D15" s="10"/>
      <c r="E15" s="10"/>
      <c r="F15" s="10"/>
      <c r="G15" s="10"/>
      <c r="H15" s="10"/>
      <c r="I15" s="11"/>
      <c r="J15" s="221"/>
      <c r="K15" s="175"/>
      <c r="L15" s="175"/>
      <c r="M15" s="175"/>
      <c r="N15" s="175"/>
      <c r="O15" s="175"/>
      <c r="P15" s="175"/>
      <c r="Q15" s="175"/>
    </row>
    <row r="16" spans="1:17" x14ac:dyDescent="0.3">
      <c r="A16" s="220">
        <v>35855</v>
      </c>
      <c r="B16" s="222">
        <v>279388780</v>
      </c>
      <c r="C16" s="9"/>
      <c r="D16" s="10"/>
      <c r="E16" s="10"/>
      <c r="F16" s="10"/>
      <c r="G16" s="10"/>
      <c r="H16" s="10"/>
      <c r="I16" s="11"/>
      <c r="J16" s="221"/>
      <c r="K16" s="175"/>
      <c r="L16" s="175"/>
      <c r="M16" s="175"/>
      <c r="N16" s="175"/>
      <c r="O16" s="175"/>
      <c r="P16" s="175"/>
      <c r="Q16" s="175"/>
    </row>
    <row r="17" spans="1:17" x14ac:dyDescent="0.3">
      <c r="A17" s="220">
        <v>35886</v>
      </c>
      <c r="B17" s="222">
        <v>269560677</v>
      </c>
      <c r="C17" s="9"/>
      <c r="D17" s="10"/>
      <c r="E17" s="10"/>
      <c r="F17" s="10"/>
      <c r="G17" s="10"/>
      <c r="H17" s="10"/>
      <c r="I17" s="11"/>
      <c r="J17" s="221"/>
      <c r="K17" s="175"/>
      <c r="L17" s="175"/>
      <c r="M17" s="175"/>
      <c r="N17" s="175"/>
      <c r="O17" s="175"/>
      <c r="P17" s="175"/>
      <c r="Q17" s="175"/>
    </row>
    <row r="18" spans="1:17" x14ac:dyDescent="0.3">
      <c r="A18" s="220">
        <v>35916</v>
      </c>
      <c r="B18" s="222">
        <v>273562250</v>
      </c>
      <c r="C18" s="9"/>
      <c r="D18" s="10"/>
      <c r="E18" s="10"/>
      <c r="F18" s="10"/>
      <c r="G18" s="10"/>
      <c r="H18" s="10"/>
      <c r="I18" s="11"/>
      <c r="J18" s="221"/>
      <c r="K18" s="175"/>
      <c r="L18" s="175"/>
      <c r="M18" s="175"/>
      <c r="N18" s="175"/>
      <c r="O18" s="175"/>
      <c r="P18" s="175"/>
      <c r="Q18" s="175"/>
    </row>
    <row r="19" spans="1:17" x14ac:dyDescent="0.3">
      <c r="A19" s="220">
        <v>35947</v>
      </c>
      <c r="B19" s="222">
        <v>299875171</v>
      </c>
      <c r="C19" s="9"/>
      <c r="D19" s="10"/>
      <c r="E19" s="10"/>
      <c r="F19" s="10"/>
      <c r="G19" s="10"/>
      <c r="H19" s="10"/>
      <c r="I19" s="11"/>
      <c r="J19" s="221"/>
      <c r="K19" s="175"/>
      <c r="L19" s="175"/>
      <c r="M19" s="175"/>
      <c r="N19" s="175"/>
      <c r="O19" s="175"/>
      <c r="P19" s="175"/>
      <c r="Q19" s="175"/>
    </row>
    <row r="20" spans="1:17" x14ac:dyDescent="0.3">
      <c r="A20" s="220">
        <v>35977</v>
      </c>
      <c r="B20" s="222">
        <v>269076581</v>
      </c>
      <c r="C20" s="9"/>
      <c r="D20" s="10"/>
      <c r="E20" s="10"/>
      <c r="F20" s="10"/>
      <c r="G20" s="10"/>
      <c r="H20" s="10"/>
      <c r="I20" s="11"/>
      <c r="J20" s="221"/>
      <c r="K20" s="175"/>
      <c r="L20" s="175"/>
      <c r="M20" s="175"/>
      <c r="N20" s="175"/>
      <c r="O20" s="175"/>
      <c r="P20" s="175"/>
      <c r="Q20" s="175"/>
    </row>
    <row r="21" spans="1:17" x14ac:dyDescent="0.3">
      <c r="A21" s="220">
        <v>36008</v>
      </c>
      <c r="B21" s="222">
        <v>279232043</v>
      </c>
      <c r="C21" s="9"/>
      <c r="D21" s="10"/>
      <c r="E21" s="10"/>
      <c r="F21" s="10"/>
      <c r="G21" s="10"/>
      <c r="H21" s="10"/>
      <c r="I21" s="11"/>
      <c r="J21" s="221"/>
      <c r="K21" s="175"/>
      <c r="L21" s="175"/>
      <c r="M21" s="175"/>
      <c r="N21" s="175"/>
      <c r="O21" s="175"/>
      <c r="P21" s="175"/>
      <c r="Q21" s="175"/>
    </row>
    <row r="22" spans="1:17" x14ac:dyDescent="0.3">
      <c r="A22" s="220">
        <v>36039</v>
      </c>
      <c r="B22" s="222">
        <v>272352907</v>
      </c>
      <c r="C22" s="9"/>
      <c r="D22" s="10"/>
      <c r="E22" s="10"/>
      <c r="F22" s="10"/>
      <c r="G22" s="10"/>
      <c r="H22" s="10"/>
      <c r="I22" s="11"/>
      <c r="J22" s="221"/>
      <c r="K22" s="175"/>
      <c r="L22" s="175"/>
      <c r="M22" s="175"/>
      <c r="N22" s="175"/>
      <c r="O22" s="175"/>
      <c r="P22" s="175"/>
      <c r="Q22" s="175"/>
    </row>
    <row r="23" spans="1:17" x14ac:dyDescent="0.3">
      <c r="A23" s="220">
        <v>36069</v>
      </c>
      <c r="B23" s="222">
        <v>262831770</v>
      </c>
      <c r="C23" s="9"/>
      <c r="D23" s="10"/>
      <c r="E23" s="10"/>
      <c r="F23" s="10"/>
      <c r="G23" s="10"/>
      <c r="H23" s="10"/>
      <c r="I23" s="11"/>
      <c r="J23" s="221"/>
      <c r="K23" s="175"/>
      <c r="L23" s="175"/>
      <c r="M23" s="175"/>
      <c r="N23" s="175"/>
      <c r="O23" s="175"/>
      <c r="P23" s="175"/>
      <c r="Q23" s="175"/>
    </row>
    <row r="24" spans="1:17" x14ac:dyDescent="0.3">
      <c r="A24" s="220">
        <v>36100</v>
      </c>
      <c r="B24" s="222">
        <v>251489898</v>
      </c>
      <c r="C24" s="9"/>
      <c r="D24" s="10"/>
      <c r="E24" s="10"/>
      <c r="F24" s="10"/>
      <c r="G24" s="10"/>
      <c r="H24" s="10"/>
      <c r="I24" s="11"/>
      <c r="J24" s="221"/>
      <c r="K24" s="175"/>
      <c r="L24" s="175"/>
      <c r="M24" s="175"/>
      <c r="N24" s="175"/>
      <c r="O24" s="175"/>
      <c r="P24" s="175"/>
      <c r="Q24" s="175"/>
    </row>
    <row r="25" spans="1:17" x14ac:dyDescent="0.3">
      <c r="A25" s="220">
        <v>36130</v>
      </c>
      <c r="B25" s="222">
        <v>345415974</v>
      </c>
      <c r="C25" s="9"/>
      <c r="D25" s="10"/>
      <c r="E25" s="10"/>
      <c r="F25" s="10"/>
      <c r="G25" s="10"/>
      <c r="H25" s="10"/>
      <c r="I25" s="11"/>
      <c r="J25" s="221"/>
      <c r="K25" s="175"/>
      <c r="L25" s="175"/>
      <c r="M25" s="175"/>
      <c r="N25" s="175"/>
      <c r="O25" s="175"/>
      <c r="P25" s="175"/>
      <c r="Q25" s="175"/>
    </row>
    <row r="26" spans="1:17" x14ac:dyDescent="0.3">
      <c r="A26" s="220">
        <v>36161</v>
      </c>
      <c r="B26" s="222">
        <v>259151134</v>
      </c>
      <c r="C26" s="9">
        <v>186125832</v>
      </c>
      <c r="D26" s="10">
        <v>9751123</v>
      </c>
      <c r="E26" s="10">
        <v>5044537</v>
      </c>
      <c r="F26" s="10">
        <v>1399270</v>
      </c>
      <c r="G26" s="10">
        <v>7863100</v>
      </c>
      <c r="H26" s="10">
        <v>2276922</v>
      </c>
      <c r="I26" s="11">
        <v>45153833</v>
      </c>
      <c r="J26" s="221"/>
      <c r="K26" s="175">
        <f t="shared" ref="K26:K57" si="0">C26/$B26</f>
        <v>0.7182134576343393</v>
      </c>
      <c r="L26" s="175">
        <f t="shared" ref="L26:L57" si="1">D26/$B26</f>
        <v>3.76271670105831E-2</v>
      </c>
      <c r="M26" s="175">
        <f t="shared" ref="M26:M57" si="2">E26/$B26</f>
        <v>1.9465618082149701E-2</v>
      </c>
      <c r="N26" s="175">
        <f t="shared" ref="N26:N57" si="3">F26/$B26</f>
        <v>5.3994361452417957E-3</v>
      </c>
      <c r="O26" s="175">
        <f t="shared" ref="O26:O57" si="4">G26/$B26</f>
        <v>3.0341754167280625E-2</v>
      </c>
      <c r="P26" s="175">
        <f t="shared" ref="P26:P57" si="5">H26/$B26</f>
        <v>8.786077702442158E-3</v>
      </c>
      <c r="Q26" s="175">
        <f t="shared" ref="Q26:Q57" si="6">I26/$B26</f>
        <v>0.17423745095400586</v>
      </c>
    </row>
    <row r="27" spans="1:17" x14ac:dyDescent="0.3">
      <c r="A27" s="220">
        <v>36192</v>
      </c>
      <c r="B27" s="222">
        <v>233066076</v>
      </c>
      <c r="C27" s="9">
        <v>178983620</v>
      </c>
      <c r="D27" s="10">
        <v>8661263</v>
      </c>
      <c r="E27" s="10">
        <v>5368652</v>
      </c>
      <c r="F27" s="10">
        <v>1191948</v>
      </c>
      <c r="G27" s="10">
        <v>7986270</v>
      </c>
      <c r="H27" s="10">
        <v>1950241</v>
      </c>
      <c r="I27" s="11">
        <v>27886134</v>
      </c>
      <c r="J27" s="221"/>
      <c r="K27" s="175">
        <f t="shared" si="0"/>
        <v>0.76795226088587853</v>
      </c>
      <c r="L27" s="175">
        <f t="shared" si="1"/>
        <v>3.7162263803677716E-2</v>
      </c>
      <c r="M27" s="175">
        <f t="shared" si="2"/>
        <v>2.303489247401239E-2</v>
      </c>
      <c r="N27" s="175">
        <f t="shared" si="3"/>
        <v>5.1142063249050452E-3</v>
      </c>
      <c r="O27" s="175">
        <f t="shared" si="4"/>
        <v>3.4266119450176866E-2</v>
      </c>
      <c r="P27" s="175">
        <f t="shared" si="5"/>
        <v>8.367760051016606E-3</v>
      </c>
      <c r="Q27" s="175">
        <f t="shared" si="6"/>
        <v>0.11964904750874168</v>
      </c>
    </row>
    <row r="28" spans="1:17" x14ac:dyDescent="0.3">
      <c r="A28" s="220">
        <v>36220</v>
      </c>
      <c r="B28" s="222">
        <v>289542985</v>
      </c>
      <c r="C28" s="9">
        <v>223974852</v>
      </c>
      <c r="D28" s="10">
        <v>9880204</v>
      </c>
      <c r="E28" s="10">
        <v>6296640</v>
      </c>
      <c r="F28" s="10">
        <v>1338052</v>
      </c>
      <c r="G28" s="10">
        <v>9139106</v>
      </c>
      <c r="H28" s="10">
        <v>2779898</v>
      </c>
      <c r="I28" s="11">
        <v>34924702</v>
      </c>
      <c r="J28" s="221"/>
      <c r="K28" s="175">
        <f t="shared" si="0"/>
        <v>0.77354611785880423</v>
      </c>
      <c r="L28" s="175">
        <f t="shared" si="1"/>
        <v>3.4123444572487227E-2</v>
      </c>
      <c r="M28" s="175">
        <f t="shared" si="2"/>
        <v>2.1746822842211147E-2</v>
      </c>
      <c r="N28" s="175">
        <f t="shared" si="3"/>
        <v>4.6212551134678674E-3</v>
      </c>
      <c r="O28" s="175">
        <f t="shared" si="4"/>
        <v>3.1563900607020405E-2</v>
      </c>
      <c r="P28" s="175">
        <f t="shared" si="5"/>
        <v>9.6009854978873002E-3</v>
      </c>
      <c r="Q28" s="175">
        <f t="shared" si="6"/>
        <v>0.12062009376604306</v>
      </c>
    </row>
    <row r="29" spans="1:17" x14ac:dyDescent="0.3">
      <c r="A29" s="220">
        <v>36251</v>
      </c>
      <c r="B29" s="222">
        <v>257166267</v>
      </c>
      <c r="C29" s="9">
        <v>200047374</v>
      </c>
      <c r="D29" s="10">
        <v>10238252</v>
      </c>
      <c r="E29" s="10">
        <v>5819339</v>
      </c>
      <c r="F29" s="10">
        <v>1274339</v>
      </c>
      <c r="G29" s="10">
        <v>8291545</v>
      </c>
      <c r="H29" s="10">
        <v>2102001</v>
      </c>
      <c r="I29" s="11">
        <v>32805148</v>
      </c>
      <c r="J29" s="221"/>
      <c r="K29" s="175">
        <f t="shared" si="0"/>
        <v>0.77789119208235813</v>
      </c>
      <c r="L29" s="175">
        <f t="shared" si="1"/>
        <v>3.9811800044521388E-2</v>
      </c>
      <c r="M29" s="175">
        <f t="shared" si="2"/>
        <v>2.2628702698398621E-2</v>
      </c>
      <c r="N29" s="175">
        <f t="shared" si="3"/>
        <v>4.9553116544636079E-3</v>
      </c>
      <c r="O29" s="175">
        <f t="shared" si="4"/>
        <v>3.2241961967741282E-2</v>
      </c>
      <c r="P29" s="175">
        <f t="shared" si="5"/>
        <v>8.1737042129246297E-3</v>
      </c>
      <c r="Q29" s="175">
        <f t="shared" si="6"/>
        <v>0.12756396234503026</v>
      </c>
    </row>
    <row r="30" spans="1:17" x14ac:dyDescent="0.3">
      <c r="A30" s="220">
        <v>36281</v>
      </c>
      <c r="B30" s="222">
        <v>257242554</v>
      </c>
      <c r="C30" s="9">
        <v>199665053</v>
      </c>
      <c r="D30" s="10">
        <v>8738036</v>
      </c>
      <c r="E30" s="10">
        <v>5781085</v>
      </c>
      <c r="F30" s="10">
        <v>1183001</v>
      </c>
      <c r="G30" s="10">
        <v>8223391</v>
      </c>
      <c r="H30" s="10">
        <v>1864328</v>
      </c>
      <c r="I30" s="11">
        <v>30649104</v>
      </c>
      <c r="J30" s="221"/>
      <c r="K30" s="175">
        <f t="shared" si="0"/>
        <v>0.77617427558272489</v>
      </c>
      <c r="L30" s="175">
        <f t="shared" si="1"/>
        <v>3.3968081346292339E-2</v>
      </c>
      <c r="M30" s="175">
        <f t="shared" si="2"/>
        <v>2.247328410524178E-2</v>
      </c>
      <c r="N30" s="175">
        <f t="shared" si="3"/>
        <v>4.5987764528259197E-3</v>
      </c>
      <c r="O30" s="175">
        <f t="shared" si="4"/>
        <v>3.1967459785055628E-2</v>
      </c>
      <c r="P30" s="175">
        <f t="shared" si="5"/>
        <v>7.2473545726031005E-3</v>
      </c>
      <c r="Q30" s="175">
        <f t="shared" si="6"/>
        <v>0.11914476638262579</v>
      </c>
    </row>
    <row r="31" spans="1:17" x14ac:dyDescent="0.3">
      <c r="A31" s="220">
        <v>36312</v>
      </c>
      <c r="B31" s="222">
        <v>288588123</v>
      </c>
      <c r="C31" s="9">
        <v>215750863</v>
      </c>
      <c r="D31" s="10">
        <v>10240717</v>
      </c>
      <c r="E31" s="10">
        <v>6461404</v>
      </c>
      <c r="F31" s="10">
        <v>1624051</v>
      </c>
      <c r="G31" s="10">
        <v>9518568</v>
      </c>
      <c r="H31" s="10">
        <v>3010880</v>
      </c>
      <c r="I31" s="11">
        <v>40498490</v>
      </c>
      <c r="J31" s="221"/>
      <c r="K31" s="175">
        <f t="shared" si="0"/>
        <v>0.74760825482759041</v>
      </c>
      <c r="L31" s="175">
        <f t="shared" si="1"/>
        <v>3.5485580257230476E-2</v>
      </c>
      <c r="M31" s="175">
        <f t="shared" si="2"/>
        <v>2.2389708671413343E-2</v>
      </c>
      <c r="N31" s="175">
        <f t="shared" si="3"/>
        <v>5.6275739386544331E-3</v>
      </c>
      <c r="O31" s="175">
        <f t="shared" si="4"/>
        <v>3.2983228488581977E-2</v>
      </c>
      <c r="P31" s="175">
        <f t="shared" si="5"/>
        <v>1.0433138996506797E-2</v>
      </c>
      <c r="Q31" s="175">
        <f t="shared" si="6"/>
        <v>0.14033318342764925</v>
      </c>
    </row>
    <row r="32" spans="1:17" x14ac:dyDescent="0.3">
      <c r="A32" s="220">
        <v>36342</v>
      </c>
      <c r="B32" s="222">
        <v>252150152</v>
      </c>
      <c r="C32" s="9">
        <v>189797396</v>
      </c>
      <c r="D32" s="10">
        <v>9600135</v>
      </c>
      <c r="E32" s="10">
        <v>5871547</v>
      </c>
      <c r="F32" s="10">
        <v>1183725</v>
      </c>
      <c r="G32" s="10">
        <v>9230417</v>
      </c>
      <c r="H32" s="10">
        <v>2251480</v>
      </c>
      <c r="I32" s="11">
        <v>32709159</v>
      </c>
      <c r="J32" s="221"/>
      <c r="K32" s="175">
        <f t="shared" si="0"/>
        <v>0.75271577072061413</v>
      </c>
      <c r="L32" s="175">
        <f t="shared" si="1"/>
        <v>3.807308829224898E-2</v>
      </c>
      <c r="M32" s="175">
        <f t="shared" si="2"/>
        <v>2.3285914973392521E-2</v>
      </c>
      <c r="N32" s="175">
        <f t="shared" si="3"/>
        <v>4.6945242372885823E-3</v>
      </c>
      <c r="O32" s="175">
        <f t="shared" si="4"/>
        <v>3.6606827030586125E-2</v>
      </c>
      <c r="P32" s="175">
        <f t="shared" si="5"/>
        <v>8.9291241037998664E-3</v>
      </c>
      <c r="Q32" s="175">
        <f t="shared" si="6"/>
        <v>0.12972095690031549</v>
      </c>
    </row>
    <row r="33" spans="1:17" x14ac:dyDescent="0.3">
      <c r="A33" s="220">
        <v>36373</v>
      </c>
      <c r="B33" s="222">
        <v>252662189</v>
      </c>
      <c r="C33" s="9">
        <v>194187054</v>
      </c>
      <c r="D33" s="10">
        <v>9489184</v>
      </c>
      <c r="E33" s="10">
        <v>5647266</v>
      </c>
      <c r="F33" s="10">
        <v>1122208</v>
      </c>
      <c r="G33" s="10">
        <v>8650661</v>
      </c>
      <c r="H33" s="10">
        <v>2556836</v>
      </c>
      <c r="I33" s="11">
        <v>29981871</v>
      </c>
      <c r="J33" s="221"/>
      <c r="K33" s="175">
        <f t="shared" si="0"/>
        <v>0.76856396585719444</v>
      </c>
      <c r="L33" s="175">
        <f t="shared" si="1"/>
        <v>3.7556802771149901E-2</v>
      </c>
      <c r="M33" s="175">
        <f t="shared" si="2"/>
        <v>2.2351053089308903E-2</v>
      </c>
      <c r="N33" s="175">
        <f t="shared" si="3"/>
        <v>4.4415351756490959E-3</v>
      </c>
      <c r="O33" s="175">
        <f t="shared" si="4"/>
        <v>3.4238051345308343E-2</v>
      </c>
      <c r="P33" s="175">
        <f t="shared" si="5"/>
        <v>1.0119583029497144E-2</v>
      </c>
      <c r="Q33" s="175">
        <f t="shared" si="6"/>
        <v>0.11866386149294385</v>
      </c>
    </row>
    <row r="34" spans="1:17" x14ac:dyDescent="0.3">
      <c r="A34" s="220">
        <v>36404</v>
      </c>
      <c r="B34" s="222">
        <v>270657894</v>
      </c>
      <c r="C34" s="9">
        <v>203306825</v>
      </c>
      <c r="D34" s="10">
        <v>12109592</v>
      </c>
      <c r="E34" s="10">
        <v>5448966</v>
      </c>
      <c r="F34" s="10">
        <v>1148012</v>
      </c>
      <c r="G34" s="10">
        <v>8693230</v>
      </c>
      <c r="H34" s="10">
        <v>2466275</v>
      </c>
      <c r="I34" s="11">
        <v>36174866</v>
      </c>
      <c r="J34" s="221"/>
      <c r="K34" s="175">
        <f t="shared" si="0"/>
        <v>0.75115793592925839</v>
      </c>
      <c r="L34" s="175">
        <f t="shared" si="1"/>
        <v>4.4741322046937967E-2</v>
      </c>
      <c r="M34" s="175">
        <f t="shared" si="2"/>
        <v>2.0132300297880837E-2</v>
      </c>
      <c r="N34" s="175">
        <f t="shared" si="3"/>
        <v>4.2415611199575799E-3</v>
      </c>
      <c r="O34" s="175">
        <f t="shared" si="4"/>
        <v>3.2118885843396089E-2</v>
      </c>
      <c r="P34" s="175">
        <f t="shared" si="5"/>
        <v>9.1121487851375943E-3</v>
      </c>
      <c r="Q34" s="175">
        <f t="shared" si="6"/>
        <v>0.13365531470513844</v>
      </c>
    </row>
    <row r="35" spans="1:17" x14ac:dyDescent="0.3">
      <c r="A35" s="220">
        <v>36434</v>
      </c>
      <c r="B35" s="222">
        <v>258021811</v>
      </c>
      <c r="C35" s="9">
        <v>182801332</v>
      </c>
      <c r="D35" s="10">
        <v>10048195</v>
      </c>
      <c r="E35" s="10">
        <v>5198998</v>
      </c>
      <c r="F35" s="10">
        <v>1262036</v>
      </c>
      <c r="G35" s="10">
        <v>8307208</v>
      </c>
      <c r="H35" s="10">
        <v>2688303</v>
      </c>
      <c r="I35" s="11">
        <v>36682301</v>
      </c>
      <c r="J35" s="221"/>
      <c r="K35" s="175">
        <f t="shared" si="0"/>
        <v>0.70847240119557175</v>
      </c>
      <c r="L35" s="175">
        <f t="shared" si="1"/>
        <v>3.8943200038232428E-2</v>
      </c>
      <c r="M35" s="175">
        <f t="shared" si="2"/>
        <v>2.0149451629110533E-2</v>
      </c>
      <c r="N35" s="175">
        <f t="shared" si="3"/>
        <v>4.8911989072117626E-3</v>
      </c>
      <c r="O35" s="175">
        <f t="shared" si="4"/>
        <v>3.2195758830636217E-2</v>
      </c>
      <c r="P35" s="175">
        <f t="shared" si="5"/>
        <v>1.0418898269030443E-2</v>
      </c>
      <c r="Q35" s="175">
        <f t="shared" si="6"/>
        <v>0.14216744258104599</v>
      </c>
    </row>
    <row r="36" spans="1:17" x14ac:dyDescent="0.3">
      <c r="A36" s="220">
        <v>36465</v>
      </c>
      <c r="B36" s="222">
        <v>233754032</v>
      </c>
      <c r="C36" s="9">
        <v>181333040</v>
      </c>
      <c r="D36" s="10">
        <v>15409424</v>
      </c>
      <c r="E36" s="10">
        <v>4375565</v>
      </c>
      <c r="F36" s="10">
        <v>1012140</v>
      </c>
      <c r="G36" s="10">
        <v>8844367</v>
      </c>
      <c r="H36" s="10">
        <v>1398447</v>
      </c>
      <c r="I36" s="11">
        <v>21292717</v>
      </c>
      <c r="J36" s="221"/>
      <c r="K36" s="175">
        <f t="shared" si="0"/>
        <v>0.77574293991215515</v>
      </c>
      <c r="L36" s="175">
        <f t="shared" si="1"/>
        <v>6.5921532425160481E-2</v>
      </c>
      <c r="M36" s="175">
        <f t="shared" si="2"/>
        <v>1.8718671770333355E-2</v>
      </c>
      <c r="N36" s="175">
        <f t="shared" si="3"/>
        <v>4.3299360072642512E-3</v>
      </c>
      <c r="O36" s="175">
        <f t="shared" si="4"/>
        <v>3.7836211526824058E-2</v>
      </c>
      <c r="P36" s="175">
        <f t="shared" si="5"/>
        <v>5.9825577682441856E-3</v>
      </c>
      <c r="Q36" s="175">
        <f t="shared" si="6"/>
        <v>9.1090266199130202E-2</v>
      </c>
    </row>
    <row r="37" spans="1:17" x14ac:dyDescent="0.3">
      <c r="A37" s="220">
        <v>36495</v>
      </c>
      <c r="B37" s="222">
        <v>372034434</v>
      </c>
      <c r="C37" s="9">
        <v>282454792</v>
      </c>
      <c r="D37" s="10">
        <v>13111231</v>
      </c>
      <c r="E37" s="10">
        <v>6433930</v>
      </c>
      <c r="F37" s="10">
        <v>1651824</v>
      </c>
      <c r="G37" s="10">
        <v>12727889</v>
      </c>
      <c r="H37" s="10">
        <v>4742716</v>
      </c>
      <c r="I37" s="11">
        <v>50104702</v>
      </c>
      <c r="J37" s="221"/>
      <c r="K37" s="175">
        <f t="shared" si="0"/>
        <v>0.75921679873320547</v>
      </c>
      <c r="L37" s="175">
        <f t="shared" si="1"/>
        <v>3.5241982466601464E-2</v>
      </c>
      <c r="M37" s="175">
        <f t="shared" si="2"/>
        <v>1.7293909950281645E-2</v>
      </c>
      <c r="N37" s="175">
        <f t="shared" si="3"/>
        <v>4.4399761125337124E-3</v>
      </c>
      <c r="O37" s="175">
        <f t="shared" si="4"/>
        <v>3.4211588597199583E-2</v>
      </c>
      <c r="P37" s="175">
        <f t="shared" si="5"/>
        <v>1.2748056541454439E-2</v>
      </c>
      <c r="Q37" s="175">
        <f t="shared" si="6"/>
        <v>0.13467759277357644</v>
      </c>
    </row>
    <row r="38" spans="1:17" x14ac:dyDescent="0.3">
      <c r="A38" s="220">
        <v>36526</v>
      </c>
      <c r="B38" s="222">
        <v>273237617</v>
      </c>
      <c r="C38" s="9">
        <v>205926778</v>
      </c>
      <c r="D38" s="10">
        <v>13002245</v>
      </c>
      <c r="E38" s="10">
        <v>5142696</v>
      </c>
      <c r="F38" s="10">
        <v>1045169</v>
      </c>
      <c r="G38" s="10">
        <v>8947420</v>
      </c>
      <c r="H38" s="10">
        <v>3788357</v>
      </c>
      <c r="I38" s="11">
        <v>35141337</v>
      </c>
      <c r="J38" s="221"/>
      <c r="K38" s="175">
        <f t="shared" si="0"/>
        <v>0.75365456726260349</v>
      </c>
      <c r="L38" s="175">
        <f t="shared" si="1"/>
        <v>4.758585271953971E-2</v>
      </c>
      <c r="M38" s="175">
        <f t="shared" si="2"/>
        <v>1.8821332349710836E-2</v>
      </c>
      <c r="N38" s="175">
        <f t="shared" si="3"/>
        <v>3.8251285144241323E-3</v>
      </c>
      <c r="O38" s="175">
        <f t="shared" si="4"/>
        <v>3.2745930440463471E-2</v>
      </c>
      <c r="P38" s="175">
        <f t="shared" si="5"/>
        <v>1.3864697846490149E-2</v>
      </c>
      <c r="Q38" s="175">
        <f t="shared" si="6"/>
        <v>0.12861090425920382</v>
      </c>
    </row>
    <row r="39" spans="1:17" x14ac:dyDescent="0.3">
      <c r="A39" s="220">
        <v>36557</v>
      </c>
      <c r="B39" s="222">
        <v>269552704</v>
      </c>
      <c r="C39" s="9">
        <v>197178762</v>
      </c>
      <c r="D39" s="10">
        <v>11471868</v>
      </c>
      <c r="E39" s="10">
        <v>5506021</v>
      </c>
      <c r="F39" s="10">
        <v>1319006</v>
      </c>
      <c r="G39" s="10">
        <v>9173706</v>
      </c>
      <c r="H39" s="10">
        <v>2433074</v>
      </c>
      <c r="I39" s="11">
        <v>45006329</v>
      </c>
      <c r="J39" s="221"/>
      <c r="K39" s="175">
        <f t="shared" si="0"/>
        <v>0.73150355783483445</v>
      </c>
      <c r="L39" s="175">
        <f t="shared" si="1"/>
        <v>4.2558905289260242E-2</v>
      </c>
      <c r="M39" s="175">
        <f t="shared" si="2"/>
        <v>2.0426509985965489E-2</v>
      </c>
      <c r="N39" s="175">
        <f t="shared" si="3"/>
        <v>4.8933139249829226E-3</v>
      </c>
      <c r="O39" s="175">
        <f t="shared" si="4"/>
        <v>3.4033069837058658E-2</v>
      </c>
      <c r="P39" s="175">
        <f t="shared" si="5"/>
        <v>9.0263386858845975E-3</v>
      </c>
      <c r="Q39" s="175">
        <f t="shared" si="6"/>
        <v>0.16696671312189842</v>
      </c>
    </row>
    <row r="40" spans="1:17" x14ac:dyDescent="0.3">
      <c r="A40" s="220">
        <v>36586</v>
      </c>
      <c r="B40" s="222">
        <v>309918743</v>
      </c>
      <c r="C40" s="9">
        <v>231904061</v>
      </c>
      <c r="D40" s="10">
        <v>12870245</v>
      </c>
      <c r="E40" s="10">
        <v>6524847</v>
      </c>
      <c r="F40" s="10">
        <v>1368982</v>
      </c>
      <c r="G40" s="10">
        <v>10747016</v>
      </c>
      <c r="H40" s="10">
        <v>2958599</v>
      </c>
      <c r="I40" s="11">
        <v>42337914</v>
      </c>
      <c r="J40" s="221"/>
      <c r="K40" s="175">
        <f t="shared" si="0"/>
        <v>0.74827375316245393</v>
      </c>
      <c r="L40" s="175">
        <f t="shared" si="1"/>
        <v>4.152780459618733E-2</v>
      </c>
      <c r="M40" s="175">
        <f t="shared" si="2"/>
        <v>2.1053412055172152E-2</v>
      </c>
      <c r="N40" s="175">
        <f t="shared" si="3"/>
        <v>4.4172288089075014E-3</v>
      </c>
      <c r="O40" s="175">
        <f t="shared" si="4"/>
        <v>3.4676883030594893E-2</v>
      </c>
      <c r="P40" s="175">
        <f t="shared" si="5"/>
        <v>9.546370030288874E-3</v>
      </c>
      <c r="Q40" s="175">
        <f t="shared" si="6"/>
        <v>0.13660972418179948</v>
      </c>
    </row>
    <row r="41" spans="1:17" x14ac:dyDescent="0.3">
      <c r="A41" s="220">
        <v>36617</v>
      </c>
      <c r="B41" s="222">
        <v>274876215</v>
      </c>
      <c r="C41" s="9">
        <v>203150324</v>
      </c>
      <c r="D41" s="10">
        <v>11532241</v>
      </c>
      <c r="E41" s="10">
        <v>6051109</v>
      </c>
      <c r="F41" s="10">
        <v>1526920</v>
      </c>
      <c r="G41" s="10">
        <v>9049431</v>
      </c>
      <c r="H41" s="10">
        <v>2515237</v>
      </c>
      <c r="I41" s="11">
        <v>40278931</v>
      </c>
      <c r="J41" s="221"/>
      <c r="K41" s="175">
        <f t="shared" si="0"/>
        <v>0.73906112247653</v>
      </c>
      <c r="L41" s="175">
        <f t="shared" si="1"/>
        <v>4.1954306595788943E-2</v>
      </c>
      <c r="M41" s="175">
        <f t="shared" si="2"/>
        <v>2.2013941802858424E-2</v>
      </c>
      <c r="N41" s="175">
        <f t="shared" si="3"/>
        <v>5.554936792184802E-3</v>
      </c>
      <c r="O41" s="175">
        <f t="shared" si="4"/>
        <v>3.2921840836610761E-2</v>
      </c>
      <c r="P41" s="175">
        <f t="shared" si="5"/>
        <v>9.1504352240880504E-3</v>
      </c>
      <c r="Q41" s="175">
        <f t="shared" si="6"/>
        <v>0.14653479930957286</v>
      </c>
    </row>
    <row r="42" spans="1:17" x14ac:dyDescent="0.3">
      <c r="A42" s="220">
        <v>36647</v>
      </c>
      <c r="B42" s="222">
        <v>295743879</v>
      </c>
      <c r="C42" s="9">
        <v>222399263</v>
      </c>
      <c r="D42" s="10">
        <v>12747116</v>
      </c>
      <c r="E42" s="10">
        <v>6463216</v>
      </c>
      <c r="F42" s="10">
        <v>1462782</v>
      </c>
      <c r="G42" s="10">
        <v>9967095</v>
      </c>
      <c r="H42" s="10">
        <v>3119290</v>
      </c>
      <c r="I42" s="11">
        <v>38534953</v>
      </c>
      <c r="J42" s="221"/>
      <c r="K42" s="175">
        <f t="shared" si="0"/>
        <v>0.75199954687819592</v>
      </c>
      <c r="L42" s="175">
        <f t="shared" si="1"/>
        <v>4.3101875998589979E-2</v>
      </c>
      <c r="M42" s="175">
        <f t="shared" si="2"/>
        <v>2.1854098965138683E-2</v>
      </c>
      <c r="N42" s="175">
        <f t="shared" si="3"/>
        <v>4.9461108204373015E-3</v>
      </c>
      <c r="O42" s="175">
        <f t="shared" si="4"/>
        <v>3.3701779504961456E-2</v>
      </c>
      <c r="P42" s="175">
        <f t="shared" si="5"/>
        <v>1.0547268165100383E-2</v>
      </c>
      <c r="Q42" s="175">
        <f t="shared" si="6"/>
        <v>0.13029839579536995</v>
      </c>
    </row>
    <row r="43" spans="1:17" x14ac:dyDescent="0.3">
      <c r="A43" s="220">
        <v>36678</v>
      </c>
      <c r="B43" s="222">
        <v>304616685</v>
      </c>
      <c r="C43" s="9">
        <v>223889810</v>
      </c>
      <c r="D43" s="10">
        <v>14081633</v>
      </c>
      <c r="E43" s="10">
        <v>6682494</v>
      </c>
      <c r="F43" s="10">
        <v>1442719</v>
      </c>
      <c r="G43" s="10">
        <v>10263057</v>
      </c>
      <c r="H43" s="10">
        <v>2969796</v>
      </c>
      <c r="I43" s="11">
        <v>44269234</v>
      </c>
      <c r="J43" s="221"/>
      <c r="K43" s="175">
        <f t="shared" si="0"/>
        <v>0.73498866288299347</v>
      </c>
      <c r="L43" s="175">
        <f t="shared" si="1"/>
        <v>4.622738573890002E-2</v>
      </c>
      <c r="M43" s="175">
        <f t="shared" si="2"/>
        <v>2.1937386653656216E-2</v>
      </c>
      <c r="N43" s="175">
        <f t="shared" si="3"/>
        <v>4.7361785189146809E-3</v>
      </c>
      <c r="O43" s="175">
        <f t="shared" si="4"/>
        <v>3.369170996001089E-2</v>
      </c>
      <c r="P43" s="175">
        <f t="shared" si="5"/>
        <v>9.7492886839077777E-3</v>
      </c>
      <c r="Q43" s="175">
        <f t="shared" si="6"/>
        <v>0.14532767303931496</v>
      </c>
    </row>
    <row r="44" spans="1:17" x14ac:dyDescent="0.3">
      <c r="A44" s="220">
        <v>36708</v>
      </c>
      <c r="B44" s="222">
        <v>281873441</v>
      </c>
      <c r="C44" s="9">
        <v>205934552</v>
      </c>
      <c r="D44" s="10">
        <v>13033185</v>
      </c>
      <c r="E44" s="10">
        <v>4963815</v>
      </c>
      <c r="F44" s="10">
        <v>1610822</v>
      </c>
      <c r="G44" s="10">
        <v>9207299</v>
      </c>
      <c r="H44" s="10">
        <v>2882571</v>
      </c>
      <c r="I44" s="11">
        <v>43344224</v>
      </c>
      <c r="J44" s="221"/>
      <c r="K44" s="175">
        <f t="shared" si="0"/>
        <v>0.73059225186100452</v>
      </c>
      <c r="L44" s="175">
        <f t="shared" si="1"/>
        <v>4.6237719147154417E-2</v>
      </c>
      <c r="M44" s="175">
        <f t="shared" si="2"/>
        <v>1.7610084094442938E-2</v>
      </c>
      <c r="N44" s="175">
        <f t="shared" si="3"/>
        <v>5.7146994562002739E-3</v>
      </c>
      <c r="O44" s="175">
        <f t="shared" si="4"/>
        <v>3.2664656050372623E-2</v>
      </c>
      <c r="P44" s="175">
        <f t="shared" si="5"/>
        <v>1.0226472525306136E-2</v>
      </c>
      <c r="Q44" s="175">
        <f t="shared" si="6"/>
        <v>0.15377193341177539</v>
      </c>
    </row>
    <row r="45" spans="1:17" x14ac:dyDescent="0.3">
      <c r="A45" s="220">
        <v>36739</v>
      </c>
      <c r="B45" s="222">
        <v>289397287</v>
      </c>
      <c r="C45" s="9">
        <v>214638157</v>
      </c>
      <c r="D45" s="10">
        <v>14930670</v>
      </c>
      <c r="E45" s="10">
        <v>5553122</v>
      </c>
      <c r="F45" s="10">
        <v>1315777</v>
      </c>
      <c r="G45" s="10">
        <v>9786515</v>
      </c>
      <c r="H45" s="10">
        <v>3110228</v>
      </c>
      <c r="I45" s="11">
        <v>38943080</v>
      </c>
      <c r="J45" s="221"/>
      <c r="K45" s="175">
        <f t="shared" si="0"/>
        <v>0.74167301022417675</v>
      </c>
      <c r="L45" s="175">
        <f t="shared" si="1"/>
        <v>5.1592294298183933E-2</v>
      </c>
      <c r="M45" s="175">
        <f t="shared" si="2"/>
        <v>1.9188576567409216E-2</v>
      </c>
      <c r="N45" s="175">
        <f t="shared" si="3"/>
        <v>4.5466113854757736E-3</v>
      </c>
      <c r="O45" s="175">
        <f t="shared" si="4"/>
        <v>3.3816885781655585E-2</v>
      </c>
      <c r="P45" s="175">
        <f t="shared" si="5"/>
        <v>1.0747260391559925E-2</v>
      </c>
      <c r="Q45" s="175">
        <f t="shared" si="6"/>
        <v>0.13456615438139888</v>
      </c>
    </row>
    <row r="46" spans="1:17" x14ac:dyDescent="0.3">
      <c r="A46" s="220">
        <v>36770</v>
      </c>
      <c r="B46" s="222">
        <v>295353831</v>
      </c>
      <c r="C46" s="9">
        <v>215817123</v>
      </c>
      <c r="D46" s="10">
        <v>13485614</v>
      </c>
      <c r="E46" s="10">
        <v>5065133</v>
      </c>
      <c r="F46" s="10">
        <v>1323480</v>
      </c>
      <c r="G46" s="10">
        <v>11696760</v>
      </c>
      <c r="H46" s="10">
        <v>2977908</v>
      </c>
      <c r="I46" s="11">
        <v>44019376</v>
      </c>
      <c r="J46" s="221"/>
      <c r="K46" s="175">
        <f t="shared" si="0"/>
        <v>0.73070703795949743</v>
      </c>
      <c r="L46" s="175">
        <f t="shared" si="1"/>
        <v>4.5659180902921821E-2</v>
      </c>
      <c r="M46" s="175">
        <f t="shared" si="2"/>
        <v>1.7149372949897507E-2</v>
      </c>
      <c r="N46" s="175">
        <f t="shared" si="3"/>
        <v>4.4809982505356434E-3</v>
      </c>
      <c r="O46" s="175">
        <f t="shared" si="4"/>
        <v>3.9602533545603474E-2</v>
      </c>
      <c r="P46" s="175">
        <f t="shared" si="5"/>
        <v>1.0082510153728123E-2</v>
      </c>
      <c r="Q46" s="175">
        <f t="shared" si="6"/>
        <v>0.14903946175663454</v>
      </c>
    </row>
    <row r="47" spans="1:17" x14ac:dyDescent="0.3">
      <c r="A47" s="220">
        <v>36800</v>
      </c>
      <c r="B47" s="222">
        <v>278812154</v>
      </c>
      <c r="C47" s="9">
        <v>205431855</v>
      </c>
      <c r="D47" s="10">
        <v>13373316</v>
      </c>
      <c r="E47" s="10">
        <v>4758228</v>
      </c>
      <c r="F47" s="10">
        <v>1310128</v>
      </c>
      <c r="G47" s="10">
        <v>9863092</v>
      </c>
      <c r="H47" s="10">
        <v>2693543</v>
      </c>
      <c r="I47" s="11">
        <v>40375852</v>
      </c>
      <c r="J47" s="221"/>
      <c r="K47" s="175">
        <f t="shared" si="0"/>
        <v>0.73681097489028402</v>
      </c>
      <c r="L47" s="175">
        <f t="shared" si="1"/>
        <v>4.7965326504381872E-2</v>
      </c>
      <c r="M47" s="175">
        <f t="shared" si="2"/>
        <v>1.706607094323442E-2</v>
      </c>
      <c r="N47" s="175">
        <f t="shared" si="3"/>
        <v>4.6989630157944981E-3</v>
      </c>
      <c r="O47" s="175">
        <f t="shared" si="4"/>
        <v>3.5375401891554553E-2</v>
      </c>
      <c r="P47" s="175">
        <f t="shared" si="5"/>
        <v>9.660780426379835E-3</v>
      </c>
      <c r="Q47" s="175">
        <f t="shared" si="6"/>
        <v>0.14481381611506075</v>
      </c>
    </row>
    <row r="48" spans="1:17" x14ac:dyDescent="0.3">
      <c r="A48" s="220">
        <v>36831</v>
      </c>
      <c r="B48" s="222">
        <v>288415418</v>
      </c>
      <c r="C48" s="9">
        <v>217790528</v>
      </c>
      <c r="D48" s="10">
        <v>12850671</v>
      </c>
      <c r="E48" s="10">
        <v>4548606</v>
      </c>
      <c r="F48" s="10">
        <v>1202653</v>
      </c>
      <c r="G48" s="10">
        <v>9796117</v>
      </c>
      <c r="H48" s="10">
        <v>2823434</v>
      </c>
      <c r="I48" s="11">
        <v>38457333</v>
      </c>
      <c r="J48" s="221"/>
      <c r="K48" s="175">
        <f t="shared" si="0"/>
        <v>0.75512789680335324</v>
      </c>
      <c r="L48" s="175">
        <f t="shared" si="1"/>
        <v>4.4556116622031627E-2</v>
      </c>
      <c r="M48" s="175">
        <f t="shared" si="2"/>
        <v>1.5771022338341149E-2</v>
      </c>
      <c r="N48" s="175">
        <f t="shared" si="3"/>
        <v>4.1698637622763985E-3</v>
      </c>
      <c r="O48" s="175">
        <f t="shared" si="4"/>
        <v>3.3965302784194427E-2</v>
      </c>
      <c r="P48" s="175">
        <f t="shared" si="5"/>
        <v>9.7894697155198555E-3</v>
      </c>
      <c r="Q48" s="175">
        <f t="shared" si="6"/>
        <v>0.13334007337984963</v>
      </c>
    </row>
    <row r="49" spans="1:17" x14ac:dyDescent="0.3">
      <c r="A49" s="220">
        <v>36861</v>
      </c>
      <c r="B49" s="222">
        <v>359416804</v>
      </c>
      <c r="C49" s="9">
        <v>279254256</v>
      </c>
      <c r="D49" s="10">
        <v>19987344</v>
      </c>
      <c r="E49" s="10">
        <v>4379069</v>
      </c>
      <c r="F49" s="10">
        <v>1138608</v>
      </c>
      <c r="G49" s="10">
        <v>11373654</v>
      </c>
      <c r="H49" s="10">
        <v>2449108</v>
      </c>
      <c r="I49" s="11">
        <v>10129936</v>
      </c>
      <c r="J49" s="221"/>
      <c r="K49" s="175">
        <f t="shared" si="0"/>
        <v>0.77696494123852933</v>
      </c>
      <c r="L49" s="175">
        <f t="shared" si="1"/>
        <v>5.5610488373270379E-2</v>
      </c>
      <c r="M49" s="175">
        <f t="shared" si="2"/>
        <v>1.2183818205672988E-2</v>
      </c>
      <c r="N49" s="175">
        <f t="shared" si="3"/>
        <v>3.1679320146645118E-3</v>
      </c>
      <c r="O49" s="175">
        <f t="shared" si="4"/>
        <v>3.1644747472630692E-2</v>
      </c>
      <c r="P49" s="175">
        <f t="shared" si="5"/>
        <v>6.8141165709102464E-3</v>
      </c>
      <c r="Q49" s="175">
        <f t="shared" si="6"/>
        <v>2.8184369476503386E-2</v>
      </c>
    </row>
    <row r="50" spans="1:17" x14ac:dyDescent="0.3">
      <c r="A50" s="220">
        <v>36892</v>
      </c>
      <c r="B50" s="222">
        <v>269771353</v>
      </c>
      <c r="C50" s="9">
        <v>199471475</v>
      </c>
      <c r="D50" s="10">
        <v>12923098</v>
      </c>
      <c r="E50" s="10">
        <v>4429135</v>
      </c>
      <c r="F50" s="10">
        <v>1104507</v>
      </c>
      <c r="G50" s="10">
        <v>8493141</v>
      </c>
      <c r="H50" s="10">
        <v>3098990</v>
      </c>
      <c r="I50" s="11">
        <v>38766284</v>
      </c>
      <c r="J50" s="221"/>
      <c r="K50" s="175">
        <f t="shared" si="0"/>
        <v>0.73940940274707379</v>
      </c>
      <c r="L50" s="175">
        <f t="shared" si="1"/>
        <v>4.7903892894068704E-2</v>
      </c>
      <c r="M50" s="175">
        <f t="shared" si="2"/>
        <v>1.6418107225788351E-2</v>
      </c>
      <c r="N50" s="175">
        <f t="shared" si="3"/>
        <v>4.0942338306766022E-3</v>
      </c>
      <c r="O50" s="175">
        <f t="shared" si="4"/>
        <v>3.148273864349118E-2</v>
      </c>
      <c r="P50" s="175">
        <f t="shared" si="5"/>
        <v>1.1487468797326305E-2</v>
      </c>
      <c r="Q50" s="175">
        <f t="shared" si="6"/>
        <v>0.14370052108535039</v>
      </c>
    </row>
    <row r="51" spans="1:17" x14ac:dyDescent="0.3">
      <c r="A51" s="220">
        <v>36923</v>
      </c>
      <c r="B51" s="222">
        <v>266220506</v>
      </c>
      <c r="C51" s="9">
        <v>199112367</v>
      </c>
      <c r="D51" s="10">
        <v>12120756</v>
      </c>
      <c r="E51" s="10">
        <v>4568535</v>
      </c>
      <c r="F51" s="10">
        <v>1004178</v>
      </c>
      <c r="G51" s="10">
        <v>10212276</v>
      </c>
      <c r="H51" s="10">
        <v>2489002</v>
      </c>
      <c r="I51" s="11">
        <v>35871779</v>
      </c>
      <c r="J51" s="221"/>
      <c r="K51" s="175">
        <f t="shared" si="0"/>
        <v>0.74792272763541368</v>
      </c>
      <c r="L51" s="175">
        <f t="shared" si="1"/>
        <v>4.5529009699951516E-2</v>
      </c>
      <c r="M51" s="175">
        <f t="shared" si="2"/>
        <v>1.7160717890003559E-2</v>
      </c>
      <c r="N51" s="175">
        <f t="shared" si="3"/>
        <v>3.7719784065018643E-3</v>
      </c>
      <c r="O51" s="175">
        <f t="shared" si="4"/>
        <v>3.8360215572575011E-2</v>
      </c>
      <c r="P51" s="175">
        <f t="shared" si="5"/>
        <v>9.3494000045210648E-3</v>
      </c>
      <c r="Q51" s="175">
        <f t="shared" si="6"/>
        <v>0.13474461279853475</v>
      </c>
    </row>
    <row r="52" spans="1:17" x14ac:dyDescent="0.3">
      <c r="A52" s="220">
        <v>36951</v>
      </c>
      <c r="B52" s="222">
        <v>307218430</v>
      </c>
      <c r="C52" s="9">
        <v>224554223</v>
      </c>
      <c r="D52" s="10">
        <v>14628278</v>
      </c>
      <c r="E52" s="10">
        <v>5411303</v>
      </c>
      <c r="F52" s="10">
        <v>1568118</v>
      </c>
      <c r="G52" s="10">
        <v>10198538</v>
      </c>
      <c r="H52" s="10">
        <v>2704871</v>
      </c>
      <c r="I52" s="11">
        <v>47069302</v>
      </c>
      <c r="J52" s="221"/>
      <c r="K52" s="175">
        <f t="shared" si="0"/>
        <v>0.73092692713780227</v>
      </c>
      <c r="L52" s="175">
        <f t="shared" si="1"/>
        <v>4.7615235843761067E-2</v>
      </c>
      <c r="M52" s="175">
        <f t="shared" si="2"/>
        <v>1.761386190275108E-2</v>
      </c>
      <c r="N52" s="175">
        <f t="shared" si="3"/>
        <v>5.1042445598071702E-3</v>
      </c>
      <c r="O52" s="175">
        <f t="shared" si="4"/>
        <v>3.3196374319079749E-2</v>
      </c>
      <c r="P52" s="175">
        <f t="shared" si="5"/>
        <v>8.8043904136870955E-3</v>
      </c>
      <c r="Q52" s="175">
        <f t="shared" si="6"/>
        <v>0.1532111924405056</v>
      </c>
    </row>
    <row r="53" spans="1:17" x14ac:dyDescent="0.3">
      <c r="A53" s="220">
        <v>36982</v>
      </c>
      <c r="B53" s="222">
        <v>290399475</v>
      </c>
      <c r="C53" s="9">
        <v>215300200</v>
      </c>
      <c r="D53" s="10">
        <v>14489200</v>
      </c>
      <c r="E53" s="10">
        <v>5178300</v>
      </c>
      <c r="F53" s="10">
        <v>1411550</v>
      </c>
      <c r="G53" s="10">
        <v>9111450</v>
      </c>
      <c r="H53" s="10">
        <v>2830320</v>
      </c>
      <c r="I53" s="11">
        <v>41160928</v>
      </c>
      <c r="J53" s="221"/>
      <c r="K53" s="175">
        <f t="shared" si="0"/>
        <v>0.74139321360687727</v>
      </c>
      <c r="L53" s="175">
        <f t="shared" si="1"/>
        <v>4.9894029594922652E-2</v>
      </c>
      <c r="M53" s="175">
        <f t="shared" si="2"/>
        <v>1.7831643807207295E-2</v>
      </c>
      <c r="N53" s="175">
        <f t="shared" si="3"/>
        <v>4.8607181538465249E-3</v>
      </c>
      <c r="O53" s="175">
        <f t="shared" si="4"/>
        <v>3.1375573251294621E-2</v>
      </c>
      <c r="P53" s="175">
        <f t="shared" si="5"/>
        <v>9.7462986115935644E-3</v>
      </c>
      <c r="Q53" s="175">
        <f t="shared" si="6"/>
        <v>0.14173898902537616</v>
      </c>
    </row>
    <row r="54" spans="1:17" x14ac:dyDescent="0.3">
      <c r="A54" s="220">
        <v>37012</v>
      </c>
      <c r="B54" s="222">
        <v>308542149</v>
      </c>
      <c r="C54" s="9">
        <v>223883916</v>
      </c>
      <c r="D54" s="10">
        <v>16146865</v>
      </c>
      <c r="E54" s="10">
        <v>5492395</v>
      </c>
      <c r="F54" s="10">
        <v>1500132</v>
      </c>
      <c r="G54" s="10">
        <v>9715370</v>
      </c>
      <c r="H54" s="10">
        <v>3279687</v>
      </c>
      <c r="I54" s="11">
        <v>47523519</v>
      </c>
      <c r="J54" s="221"/>
      <c r="K54" s="175">
        <f t="shared" si="0"/>
        <v>0.72561857991077905</v>
      </c>
      <c r="L54" s="175">
        <f t="shared" si="1"/>
        <v>5.2332768966356039E-2</v>
      </c>
      <c r="M54" s="175">
        <f t="shared" si="2"/>
        <v>1.7801117344262745E-2</v>
      </c>
      <c r="N54" s="175">
        <f t="shared" si="3"/>
        <v>4.8620002319358967E-3</v>
      </c>
      <c r="O54" s="175">
        <f t="shared" si="4"/>
        <v>3.1487983186374968E-2</v>
      </c>
      <c r="P54" s="175">
        <f t="shared" si="5"/>
        <v>1.062962389621523E-2</v>
      </c>
      <c r="Q54" s="175">
        <f t="shared" si="6"/>
        <v>0.154026019310574</v>
      </c>
    </row>
    <row r="55" spans="1:17" x14ac:dyDescent="0.3">
      <c r="A55" s="220">
        <v>37043</v>
      </c>
      <c r="B55" s="222">
        <v>316078640</v>
      </c>
      <c r="C55" s="9">
        <v>227298223</v>
      </c>
      <c r="D55" s="10">
        <v>16838647</v>
      </c>
      <c r="E55" s="10">
        <v>6807660</v>
      </c>
      <c r="F55" s="10">
        <v>1320613</v>
      </c>
      <c r="G55" s="10">
        <v>9862968</v>
      </c>
      <c r="H55" s="10">
        <v>3124490</v>
      </c>
      <c r="I55" s="11">
        <v>49740830</v>
      </c>
      <c r="J55" s="221"/>
      <c r="K55" s="175">
        <f t="shared" si="0"/>
        <v>0.71911921349699559</v>
      </c>
      <c r="L55" s="175">
        <f t="shared" si="1"/>
        <v>5.3273599886408014E-2</v>
      </c>
      <c r="M55" s="175">
        <f t="shared" si="2"/>
        <v>2.1537867917933336E-2</v>
      </c>
      <c r="N55" s="175">
        <f t="shared" si="3"/>
        <v>4.1781152943457366E-3</v>
      </c>
      <c r="O55" s="175">
        <f t="shared" si="4"/>
        <v>3.1204158560034299E-2</v>
      </c>
      <c r="P55" s="175">
        <f t="shared" si="5"/>
        <v>9.885166552222574E-3</v>
      </c>
      <c r="Q55" s="175">
        <f t="shared" si="6"/>
        <v>0.15736852702226256</v>
      </c>
    </row>
    <row r="56" spans="1:17" x14ac:dyDescent="0.3">
      <c r="A56" s="220">
        <v>37073</v>
      </c>
      <c r="B56" s="222">
        <v>308877545</v>
      </c>
      <c r="C56" s="9">
        <v>221711044</v>
      </c>
      <c r="D56" s="10">
        <v>18035987</v>
      </c>
      <c r="E56" s="10">
        <v>6165067</v>
      </c>
      <c r="F56" s="10">
        <v>1309844</v>
      </c>
      <c r="G56" s="10">
        <v>10165447</v>
      </c>
      <c r="H56" s="10">
        <v>3353480</v>
      </c>
      <c r="I56" s="11">
        <v>47107573</v>
      </c>
      <c r="J56" s="221"/>
      <c r="K56" s="175">
        <f t="shared" si="0"/>
        <v>0.71779592783282453</v>
      </c>
      <c r="L56" s="175">
        <f t="shared" si="1"/>
        <v>5.8392030408037594E-2</v>
      </c>
      <c r="M56" s="175">
        <f t="shared" si="2"/>
        <v>1.9959583012096264E-2</v>
      </c>
      <c r="N56" s="175">
        <f t="shared" si="3"/>
        <v>4.2406578956718918E-3</v>
      </c>
      <c r="O56" s="175">
        <f t="shared" si="4"/>
        <v>3.2910929151550979E-2</v>
      </c>
      <c r="P56" s="175">
        <f t="shared" si="5"/>
        <v>1.0856988649012992E-2</v>
      </c>
      <c r="Q56" s="175">
        <f t="shared" si="6"/>
        <v>0.1525121322755916</v>
      </c>
    </row>
    <row r="57" spans="1:17" x14ac:dyDescent="0.3">
      <c r="A57" s="220">
        <v>37104</v>
      </c>
      <c r="B57" s="222">
        <v>306546018</v>
      </c>
      <c r="C57" s="9">
        <v>228160378</v>
      </c>
      <c r="D57" s="10">
        <v>16534729</v>
      </c>
      <c r="E57" s="10">
        <v>5491317</v>
      </c>
      <c r="F57" s="10">
        <v>1457795</v>
      </c>
      <c r="G57" s="10">
        <v>10738590</v>
      </c>
      <c r="H57" s="10">
        <v>3121762</v>
      </c>
      <c r="I57" s="11">
        <v>39811207</v>
      </c>
      <c r="J57" s="221"/>
      <c r="K57" s="175">
        <f t="shared" si="0"/>
        <v>0.74429405245120495</v>
      </c>
      <c r="L57" s="175">
        <f t="shared" si="1"/>
        <v>5.393881515042221E-2</v>
      </c>
      <c r="M57" s="175">
        <f t="shared" si="2"/>
        <v>1.7913516005939441E-2</v>
      </c>
      <c r="N57" s="175">
        <f t="shared" si="3"/>
        <v>4.7555502743473902E-3</v>
      </c>
      <c r="O57" s="175">
        <f t="shared" si="4"/>
        <v>3.5030923154904595E-2</v>
      </c>
      <c r="P57" s="175">
        <f t="shared" si="5"/>
        <v>1.0183665148767321E-2</v>
      </c>
      <c r="Q57" s="175">
        <f t="shared" si="6"/>
        <v>0.12987024675688333</v>
      </c>
    </row>
    <row r="58" spans="1:17" x14ac:dyDescent="0.3">
      <c r="A58" s="220">
        <v>37135</v>
      </c>
      <c r="B58" s="222">
        <v>294133534</v>
      </c>
      <c r="C58" s="9">
        <v>209889069</v>
      </c>
      <c r="D58" s="10">
        <v>16082821</v>
      </c>
      <c r="E58" s="10">
        <v>7802330</v>
      </c>
      <c r="F58" s="10">
        <v>1380943</v>
      </c>
      <c r="G58" s="10">
        <v>9149336</v>
      </c>
      <c r="H58" s="10">
        <v>3083761</v>
      </c>
      <c r="I58" s="11">
        <v>45744450</v>
      </c>
      <c r="J58" s="221"/>
      <c r="K58" s="175">
        <f t="shared" ref="K58:K89" si="7">C58/$B58</f>
        <v>0.71358428991642964</v>
      </c>
      <c r="L58" s="175">
        <f t="shared" ref="L58:L89" si="8">D58/$B58</f>
        <v>5.4678637900566616E-2</v>
      </c>
      <c r="M58" s="175">
        <f t="shared" ref="M58:M89" si="9">E58/$B58</f>
        <v>2.6526489155772357E-2</v>
      </c>
      <c r="N58" s="175">
        <f t="shared" ref="N58:N89" si="10">F58/$B58</f>
        <v>4.6949525993183767E-3</v>
      </c>
      <c r="O58" s="175">
        <f t="shared" ref="O58:O89" si="11">G58/$B58</f>
        <v>3.1106062187387311E-2</v>
      </c>
      <c r="P58" s="175">
        <f t="shared" ref="P58:P89" si="12">H58/$B58</f>
        <v>1.0484221088507372E-2</v>
      </c>
      <c r="Q58" s="175">
        <f t="shared" ref="Q58:Q89" si="13">I58/$B58</f>
        <v>0.15552272934646072</v>
      </c>
    </row>
    <row r="59" spans="1:17" x14ac:dyDescent="0.3">
      <c r="A59" s="220">
        <v>37165</v>
      </c>
      <c r="B59" s="222">
        <v>300136846</v>
      </c>
      <c r="C59" s="9">
        <v>219081158</v>
      </c>
      <c r="D59" s="10">
        <v>14614218</v>
      </c>
      <c r="E59" s="10">
        <v>5492140</v>
      </c>
      <c r="F59" s="10">
        <v>2666121</v>
      </c>
      <c r="G59" s="10">
        <v>8868058</v>
      </c>
      <c r="H59" s="10">
        <v>2956358</v>
      </c>
      <c r="I59" s="11">
        <v>45371734</v>
      </c>
      <c r="J59" s="221"/>
      <c r="K59" s="175">
        <f t="shared" si="7"/>
        <v>0.72993756321408132</v>
      </c>
      <c r="L59" s="175">
        <f t="shared" si="8"/>
        <v>4.8691849050749338E-2</v>
      </c>
      <c r="M59" s="175">
        <f t="shared" si="9"/>
        <v>1.8298786280975313E-2</v>
      </c>
      <c r="N59" s="175">
        <f t="shared" si="10"/>
        <v>8.8830179817375697E-3</v>
      </c>
      <c r="O59" s="175">
        <f t="shared" si="11"/>
        <v>2.9546715500568699E-2</v>
      </c>
      <c r="P59" s="175">
        <f t="shared" si="12"/>
        <v>9.8500335410334795E-3</v>
      </c>
      <c r="Q59" s="175">
        <f t="shared" si="13"/>
        <v>0.15117015656251681</v>
      </c>
    </row>
    <row r="60" spans="1:17" x14ac:dyDescent="0.3">
      <c r="A60" s="220">
        <v>37196</v>
      </c>
      <c r="B60" s="222">
        <v>288114062</v>
      </c>
      <c r="C60" s="9">
        <v>217932067</v>
      </c>
      <c r="D60" s="10">
        <v>12647598</v>
      </c>
      <c r="E60" s="10">
        <v>4602142</v>
      </c>
      <c r="F60" s="10">
        <v>1361852</v>
      </c>
      <c r="G60" s="10">
        <v>10279256</v>
      </c>
      <c r="H60" s="10">
        <v>2957895</v>
      </c>
      <c r="I60" s="11">
        <v>37303094</v>
      </c>
      <c r="J60" s="221"/>
      <c r="K60" s="175">
        <f t="shared" si="7"/>
        <v>0.75640899124180894</v>
      </c>
      <c r="L60" s="175">
        <f t="shared" si="8"/>
        <v>4.3897885136894153E-2</v>
      </c>
      <c r="M60" s="175">
        <f t="shared" si="9"/>
        <v>1.5973333505672486E-2</v>
      </c>
      <c r="N60" s="175">
        <f t="shared" si="10"/>
        <v>4.7267807428295538E-3</v>
      </c>
      <c r="O60" s="175">
        <f t="shared" si="11"/>
        <v>3.5677730995302824E-2</v>
      </c>
      <c r="P60" s="175">
        <f t="shared" si="12"/>
        <v>1.0266402755447598E-2</v>
      </c>
      <c r="Q60" s="175">
        <f t="shared" si="13"/>
        <v>0.12947335420233672</v>
      </c>
    </row>
    <row r="61" spans="1:17" x14ac:dyDescent="0.3">
      <c r="A61" s="220">
        <v>37226</v>
      </c>
      <c r="B61" s="222">
        <v>386197309</v>
      </c>
      <c r="C61" s="9">
        <v>299955152</v>
      </c>
      <c r="D61" s="10">
        <v>16719455</v>
      </c>
      <c r="E61" s="10">
        <v>5341418</v>
      </c>
      <c r="F61" s="10">
        <v>1310189</v>
      </c>
      <c r="G61" s="10">
        <v>11897068</v>
      </c>
      <c r="H61" s="10">
        <v>2869240</v>
      </c>
      <c r="I61" s="11">
        <v>47780580</v>
      </c>
      <c r="J61" s="221"/>
      <c r="K61" s="175">
        <f t="shared" si="7"/>
        <v>0.77668887123188113</v>
      </c>
      <c r="L61" s="175">
        <f t="shared" si="8"/>
        <v>4.3292520715104206E-2</v>
      </c>
      <c r="M61" s="175">
        <f t="shared" si="9"/>
        <v>1.3830800669820308E-2</v>
      </c>
      <c r="N61" s="175">
        <f t="shared" si="10"/>
        <v>3.3925378801642554E-3</v>
      </c>
      <c r="O61" s="175">
        <f t="shared" si="11"/>
        <v>3.0805672962366498E-2</v>
      </c>
      <c r="P61" s="175">
        <f t="shared" si="12"/>
        <v>7.4294665787016136E-3</v>
      </c>
      <c r="Q61" s="175">
        <f t="shared" si="13"/>
        <v>0.12372064456824064</v>
      </c>
    </row>
    <row r="62" spans="1:17" x14ac:dyDescent="0.3">
      <c r="A62" s="220">
        <v>37257</v>
      </c>
      <c r="B62" s="222">
        <v>274055168</v>
      </c>
      <c r="C62" s="9">
        <v>210431640</v>
      </c>
      <c r="D62" s="10">
        <v>16812480</v>
      </c>
      <c r="E62" s="10">
        <v>4803952</v>
      </c>
      <c r="F62" s="10">
        <v>1452800</v>
      </c>
      <c r="G62" s="10">
        <v>9258607</v>
      </c>
      <c r="H62" s="10">
        <v>3321275</v>
      </c>
      <c r="I62" s="11">
        <v>34500091</v>
      </c>
      <c r="J62" s="221"/>
      <c r="K62" s="175">
        <f t="shared" si="7"/>
        <v>0.76784408604912713</v>
      </c>
      <c r="L62" s="175">
        <f t="shared" si="8"/>
        <v>6.134706425240629E-2</v>
      </c>
      <c r="M62" s="175">
        <f t="shared" si="9"/>
        <v>1.7529142161624919E-2</v>
      </c>
      <c r="N62" s="175">
        <f t="shared" si="10"/>
        <v>5.3011224367788606E-3</v>
      </c>
      <c r="O62" s="175">
        <f t="shared" si="11"/>
        <v>3.3783734375700591E-2</v>
      </c>
      <c r="P62" s="175">
        <f t="shared" si="12"/>
        <v>1.2119001528918441E-2</v>
      </c>
      <c r="Q62" s="175">
        <f t="shared" si="13"/>
        <v>0.12588739432200746</v>
      </c>
    </row>
    <row r="63" spans="1:17" x14ac:dyDescent="0.3">
      <c r="A63" s="220">
        <v>37288</v>
      </c>
      <c r="B63" s="222">
        <v>273255335</v>
      </c>
      <c r="C63" s="9">
        <v>202131241</v>
      </c>
      <c r="D63" s="10">
        <v>12407827</v>
      </c>
      <c r="E63" s="10">
        <v>4711065</v>
      </c>
      <c r="F63" s="10">
        <v>1174124</v>
      </c>
      <c r="G63" s="10">
        <v>8883842</v>
      </c>
      <c r="H63" s="10">
        <v>2865907</v>
      </c>
      <c r="I63" s="11">
        <v>37819765</v>
      </c>
      <c r="J63" s="221"/>
      <c r="K63" s="175">
        <f t="shared" si="7"/>
        <v>0.73971562531432367</v>
      </c>
      <c r="L63" s="175">
        <f t="shared" si="8"/>
        <v>4.540744648224343E-2</v>
      </c>
      <c r="M63" s="175">
        <f t="shared" si="9"/>
        <v>1.7240523410091885E-2</v>
      </c>
      <c r="N63" s="175">
        <f t="shared" si="10"/>
        <v>4.2968017440537807E-3</v>
      </c>
      <c r="O63" s="175">
        <f t="shared" si="11"/>
        <v>3.2511138346118656E-2</v>
      </c>
      <c r="P63" s="175">
        <f t="shared" si="12"/>
        <v>1.0488018468148116E-2</v>
      </c>
      <c r="Q63" s="175">
        <f t="shared" si="13"/>
        <v>0.13840448897365534</v>
      </c>
    </row>
    <row r="64" spans="1:17" x14ac:dyDescent="0.3">
      <c r="A64" s="220">
        <v>37316</v>
      </c>
      <c r="B64" s="222">
        <v>308180927</v>
      </c>
      <c r="C64" s="9">
        <v>238115621</v>
      </c>
      <c r="D64" s="10">
        <v>14301801</v>
      </c>
      <c r="E64" s="10">
        <v>5530900</v>
      </c>
      <c r="F64" s="10">
        <v>1431300</v>
      </c>
      <c r="G64" s="10">
        <v>7016301</v>
      </c>
      <c r="H64" s="10">
        <v>2734680</v>
      </c>
      <c r="I64" s="11">
        <v>34636003</v>
      </c>
      <c r="J64" s="221"/>
      <c r="K64" s="175">
        <f t="shared" si="7"/>
        <v>0.77264879211684634</v>
      </c>
      <c r="L64" s="175">
        <f t="shared" si="8"/>
        <v>4.6407158091259816E-2</v>
      </c>
      <c r="M64" s="175">
        <f t="shared" si="9"/>
        <v>1.7946925054190651E-2</v>
      </c>
      <c r="N64" s="175">
        <f t="shared" si="10"/>
        <v>4.6443497134395989E-3</v>
      </c>
      <c r="O64" s="175">
        <f t="shared" si="11"/>
        <v>2.2766824242825383E-2</v>
      </c>
      <c r="P64" s="175">
        <f t="shared" si="12"/>
        <v>8.8736185805554403E-3</v>
      </c>
      <c r="Q64" s="175">
        <f t="shared" si="13"/>
        <v>0.11238853532295333</v>
      </c>
    </row>
    <row r="65" spans="1:17" x14ac:dyDescent="0.3">
      <c r="A65" s="220">
        <v>37347</v>
      </c>
      <c r="B65" s="222">
        <v>300521348</v>
      </c>
      <c r="C65" s="9">
        <v>226350298</v>
      </c>
      <c r="D65" s="10">
        <v>16660420</v>
      </c>
      <c r="E65" s="10">
        <v>5889244</v>
      </c>
      <c r="F65" s="10">
        <v>1499906</v>
      </c>
      <c r="G65" s="10">
        <v>5701437</v>
      </c>
      <c r="H65" s="10">
        <v>3377146</v>
      </c>
      <c r="I65" s="11">
        <v>36351498</v>
      </c>
      <c r="J65" s="221"/>
      <c r="K65" s="175">
        <f t="shared" si="7"/>
        <v>0.75319207605843697</v>
      </c>
      <c r="L65" s="175">
        <f t="shared" si="8"/>
        <v>5.543839101906331E-2</v>
      </c>
      <c r="M65" s="175">
        <f t="shared" si="9"/>
        <v>1.9596757565455883E-2</v>
      </c>
      <c r="N65" s="175">
        <f t="shared" si="10"/>
        <v>4.9910131509193151E-3</v>
      </c>
      <c r="O65" s="175">
        <f t="shared" si="11"/>
        <v>1.8971820264828573E-2</v>
      </c>
      <c r="P65" s="175">
        <f t="shared" si="12"/>
        <v>1.1237624290171892E-2</v>
      </c>
      <c r="Q65" s="175">
        <f t="shared" si="13"/>
        <v>0.12096144996660936</v>
      </c>
    </row>
    <row r="66" spans="1:17" x14ac:dyDescent="0.3">
      <c r="A66" s="220">
        <v>37377</v>
      </c>
      <c r="B66" s="222">
        <v>306604613</v>
      </c>
      <c r="C66" s="9">
        <v>229665229</v>
      </c>
      <c r="D66" s="10">
        <v>14693961</v>
      </c>
      <c r="E66" s="10">
        <v>6020642</v>
      </c>
      <c r="F66" s="10">
        <v>1835296</v>
      </c>
      <c r="G66" s="10">
        <v>5777057</v>
      </c>
      <c r="H66" s="10">
        <v>3701099</v>
      </c>
      <c r="I66" s="11">
        <v>39990879</v>
      </c>
      <c r="J66" s="221"/>
      <c r="K66" s="175">
        <f t="shared" si="7"/>
        <v>0.74905992689679457</v>
      </c>
      <c r="L66" s="175">
        <f t="shared" si="8"/>
        <v>4.7924787746099567E-2</v>
      </c>
      <c r="M66" s="175">
        <f t="shared" si="9"/>
        <v>1.9636501685641631E-2</v>
      </c>
      <c r="N66" s="175">
        <f t="shared" si="10"/>
        <v>5.9858721042791354E-3</v>
      </c>
      <c r="O66" s="175">
        <f t="shared" si="11"/>
        <v>1.8842042014547249E-2</v>
      </c>
      <c r="P66" s="175">
        <f t="shared" si="12"/>
        <v>1.2071243689996276E-2</v>
      </c>
      <c r="Q66" s="175">
        <f t="shared" si="13"/>
        <v>0.13043143287606049</v>
      </c>
    </row>
    <row r="67" spans="1:17" x14ac:dyDescent="0.3">
      <c r="A67" s="220">
        <v>37408</v>
      </c>
      <c r="B67" s="222">
        <v>307195719</v>
      </c>
      <c r="C67" s="9">
        <v>229919918</v>
      </c>
      <c r="D67" s="10">
        <v>15918372</v>
      </c>
      <c r="E67" s="10">
        <v>6470207</v>
      </c>
      <c r="F67" s="10">
        <v>1716943</v>
      </c>
      <c r="G67" s="10">
        <v>6098735</v>
      </c>
      <c r="H67" s="10">
        <v>3730920</v>
      </c>
      <c r="I67" s="11">
        <v>40689256</v>
      </c>
      <c r="J67" s="221"/>
      <c r="K67" s="175">
        <f t="shared" si="7"/>
        <v>0.74844766310040933</v>
      </c>
      <c r="L67" s="175">
        <f t="shared" si="8"/>
        <v>5.181833930439636E-2</v>
      </c>
      <c r="M67" s="175">
        <f t="shared" si="9"/>
        <v>2.1062165257582904E-2</v>
      </c>
      <c r="N67" s="175">
        <f t="shared" si="10"/>
        <v>5.5890850484150139E-3</v>
      </c>
      <c r="O67" s="175">
        <f t="shared" si="11"/>
        <v>1.9852929656223497E-2</v>
      </c>
      <c r="P67" s="175">
        <f t="shared" si="12"/>
        <v>1.2145091123486652E-2</v>
      </c>
      <c r="Q67" s="175">
        <f t="shared" si="13"/>
        <v>0.13245385102518306</v>
      </c>
    </row>
    <row r="68" spans="1:17" x14ac:dyDescent="0.3">
      <c r="A68" s="220">
        <v>37438</v>
      </c>
      <c r="B68" s="222">
        <v>285790161</v>
      </c>
      <c r="C68" s="9">
        <v>215999621</v>
      </c>
      <c r="D68" s="10">
        <v>14503401</v>
      </c>
      <c r="E68" s="10">
        <v>5469601</v>
      </c>
      <c r="F68" s="10">
        <v>1686300</v>
      </c>
      <c r="G68" s="10">
        <v>5858251</v>
      </c>
      <c r="H68" s="10">
        <v>3097960</v>
      </c>
      <c r="I68" s="11">
        <v>35192903</v>
      </c>
      <c r="J68" s="221"/>
      <c r="K68" s="175">
        <f t="shared" si="7"/>
        <v>0.75579796114814468</v>
      </c>
      <c r="L68" s="175">
        <f t="shared" si="8"/>
        <v>5.0748426570220516E-2</v>
      </c>
      <c r="M68" s="175">
        <f t="shared" si="9"/>
        <v>1.9138521007376459E-2</v>
      </c>
      <c r="N68" s="175">
        <f t="shared" si="10"/>
        <v>5.9004830470703292E-3</v>
      </c>
      <c r="O68" s="175">
        <f t="shared" si="11"/>
        <v>2.0498434863893022E-2</v>
      </c>
      <c r="P68" s="175">
        <f t="shared" si="12"/>
        <v>1.0839981296626933E-2</v>
      </c>
      <c r="Q68" s="175">
        <f t="shared" si="13"/>
        <v>0.12314245835775992</v>
      </c>
    </row>
    <row r="69" spans="1:17" x14ac:dyDescent="0.3">
      <c r="A69" s="220">
        <v>37469</v>
      </c>
      <c r="B69" s="222">
        <v>306959916</v>
      </c>
      <c r="C69" s="9">
        <v>226118591</v>
      </c>
      <c r="D69" s="10">
        <v>15529402</v>
      </c>
      <c r="E69" s="10">
        <v>5617115</v>
      </c>
      <c r="F69" s="10">
        <v>1799909</v>
      </c>
      <c r="G69" s="10">
        <v>6157566</v>
      </c>
      <c r="H69" s="10">
        <v>3518459</v>
      </c>
      <c r="I69" s="11">
        <v>43521973</v>
      </c>
      <c r="J69" s="221"/>
      <c r="K69" s="175">
        <f t="shared" si="7"/>
        <v>0.73663882224935195</v>
      </c>
      <c r="L69" s="175">
        <f t="shared" si="8"/>
        <v>5.059097683620685E-2</v>
      </c>
      <c r="M69" s="175">
        <f t="shared" si="9"/>
        <v>1.8299180795970767E-2</v>
      </c>
      <c r="N69" s="175">
        <f t="shared" si="10"/>
        <v>5.8636613648278425E-3</v>
      </c>
      <c r="O69" s="175">
        <f t="shared" si="11"/>
        <v>2.0059837389322193E-2</v>
      </c>
      <c r="P69" s="175">
        <f t="shared" si="12"/>
        <v>1.1462275093924642E-2</v>
      </c>
      <c r="Q69" s="175">
        <f t="shared" si="13"/>
        <v>0.14178389663098553</v>
      </c>
    </row>
    <row r="70" spans="1:17" x14ac:dyDescent="0.3">
      <c r="A70" s="220">
        <v>37500</v>
      </c>
      <c r="B70" s="222">
        <v>294623500</v>
      </c>
      <c r="C70" s="9">
        <v>221214614</v>
      </c>
      <c r="D70" s="10">
        <v>15166689</v>
      </c>
      <c r="E70" s="10">
        <v>5391884</v>
      </c>
      <c r="F70" s="10">
        <v>1723437</v>
      </c>
      <c r="G70" s="10">
        <v>5754676</v>
      </c>
      <c r="H70" s="10">
        <v>3440453</v>
      </c>
      <c r="I70" s="11">
        <v>37552272</v>
      </c>
      <c r="J70" s="221"/>
      <c r="K70" s="175">
        <f t="shared" si="7"/>
        <v>0.75083832077210411</v>
      </c>
      <c r="L70" s="175">
        <f t="shared" si="8"/>
        <v>5.1478205234816637E-2</v>
      </c>
      <c r="M70" s="175">
        <f t="shared" si="9"/>
        <v>1.8300929830784036E-2</v>
      </c>
      <c r="N70" s="175">
        <f t="shared" si="10"/>
        <v>5.8496250299110561E-3</v>
      </c>
      <c r="O70" s="175">
        <f t="shared" si="11"/>
        <v>1.9532304788993409E-2</v>
      </c>
      <c r="P70" s="175">
        <f t="shared" si="12"/>
        <v>1.1677456143179346E-2</v>
      </c>
      <c r="Q70" s="175">
        <f t="shared" si="13"/>
        <v>0.12745850891052479</v>
      </c>
    </row>
    <row r="71" spans="1:17" x14ac:dyDescent="0.3">
      <c r="A71" s="220">
        <v>37530</v>
      </c>
      <c r="B71" s="222">
        <v>285173741</v>
      </c>
      <c r="C71" s="9">
        <v>220268364</v>
      </c>
      <c r="D71" s="10">
        <v>13497325</v>
      </c>
      <c r="E71" s="10">
        <v>6209135</v>
      </c>
      <c r="F71" s="10">
        <v>1259459</v>
      </c>
      <c r="G71" s="10">
        <v>5159785</v>
      </c>
      <c r="H71" s="10">
        <v>3261412</v>
      </c>
      <c r="I71" s="11">
        <v>31169076</v>
      </c>
      <c r="J71" s="221"/>
      <c r="K71" s="175">
        <f t="shared" si="7"/>
        <v>0.77240058368487718</v>
      </c>
      <c r="L71" s="175">
        <f t="shared" si="8"/>
        <v>4.7330181778553027E-2</v>
      </c>
      <c r="M71" s="175">
        <f t="shared" si="9"/>
        <v>2.1773165292943295E-2</v>
      </c>
      <c r="N71" s="175">
        <f t="shared" si="10"/>
        <v>4.4164620332276666E-3</v>
      </c>
      <c r="O71" s="175">
        <f t="shared" si="11"/>
        <v>1.8093478669903202E-2</v>
      </c>
      <c r="P71" s="175">
        <f t="shared" si="12"/>
        <v>1.1436578938030623E-2</v>
      </c>
      <c r="Q71" s="175">
        <f t="shared" si="13"/>
        <v>0.10929854863460237</v>
      </c>
    </row>
    <row r="72" spans="1:17" x14ac:dyDescent="0.3">
      <c r="A72" s="220">
        <v>37561</v>
      </c>
      <c r="B72" s="222">
        <v>300373108</v>
      </c>
      <c r="C72" s="9">
        <v>238150300</v>
      </c>
      <c r="D72" s="10">
        <v>11853800</v>
      </c>
      <c r="E72" s="10">
        <v>5537100</v>
      </c>
      <c r="F72" s="10">
        <v>1468650</v>
      </c>
      <c r="G72" s="10">
        <v>5179500</v>
      </c>
      <c r="H72" s="10">
        <v>3585840</v>
      </c>
      <c r="I72" s="11">
        <v>30194800</v>
      </c>
      <c r="J72" s="221"/>
      <c r="K72" s="175">
        <f t="shared" si="7"/>
        <v>0.7928482732215828</v>
      </c>
      <c r="L72" s="175">
        <f t="shared" si="8"/>
        <v>3.9463586067764761E-2</v>
      </c>
      <c r="M72" s="175">
        <f t="shared" si="9"/>
        <v>1.8434073665476072E-2</v>
      </c>
      <c r="N72" s="175">
        <f t="shared" si="10"/>
        <v>4.8894190621085829E-3</v>
      </c>
      <c r="O72" s="175">
        <f t="shared" si="11"/>
        <v>1.7243554306466076E-2</v>
      </c>
      <c r="P72" s="175">
        <f t="shared" si="12"/>
        <v>1.1937952847629755E-2</v>
      </c>
      <c r="Q72" s="175">
        <f t="shared" si="13"/>
        <v>0.10052431191676453</v>
      </c>
    </row>
    <row r="73" spans="1:17" x14ac:dyDescent="0.3">
      <c r="A73" s="220">
        <v>37591</v>
      </c>
      <c r="B73" s="222">
        <v>384535471</v>
      </c>
      <c r="C73" s="9">
        <v>303967200</v>
      </c>
      <c r="D73" s="10">
        <v>18988400</v>
      </c>
      <c r="E73" s="10">
        <v>5625200</v>
      </c>
      <c r="F73" s="10">
        <v>1785000</v>
      </c>
      <c r="G73" s="10">
        <v>7394061</v>
      </c>
      <c r="H73" s="10">
        <v>4311480</v>
      </c>
      <c r="I73" s="11">
        <v>37592000</v>
      </c>
      <c r="J73" s="221"/>
      <c r="K73" s="175">
        <f t="shared" si="7"/>
        <v>0.79047896208253832</v>
      </c>
      <c r="L73" s="175">
        <f t="shared" si="8"/>
        <v>4.9380099970023308E-2</v>
      </c>
      <c r="M73" s="175">
        <f t="shared" si="9"/>
        <v>1.4628559454792142E-2</v>
      </c>
      <c r="N73" s="175">
        <f t="shared" si="10"/>
        <v>4.64196448602787E-3</v>
      </c>
      <c r="O73" s="175">
        <f t="shared" si="11"/>
        <v>1.9228553820461469E-2</v>
      </c>
      <c r="P73" s="175">
        <f t="shared" si="12"/>
        <v>1.1212177614688764E-2</v>
      </c>
      <c r="Q73" s="175">
        <f t="shared" si="13"/>
        <v>9.7759512021714123E-2</v>
      </c>
    </row>
    <row r="74" spans="1:17" x14ac:dyDescent="0.3">
      <c r="A74" s="220">
        <v>37622</v>
      </c>
      <c r="B74" s="222">
        <v>291809839</v>
      </c>
      <c r="C74" s="9">
        <v>220698100</v>
      </c>
      <c r="D74" s="10">
        <v>14848800</v>
      </c>
      <c r="E74" s="10">
        <v>5732300</v>
      </c>
      <c r="F74" s="10">
        <v>1736000</v>
      </c>
      <c r="G74" s="10">
        <v>6047050</v>
      </c>
      <c r="H74" s="10">
        <v>4492880</v>
      </c>
      <c r="I74" s="11">
        <v>29625300</v>
      </c>
      <c r="J74" s="221"/>
      <c r="K74" s="175">
        <f t="shared" si="7"/>
        <v>0.75630794614845043</v>
      </c>
      <c r="L74" s="175">
        <f t="shared" si="8"/>
        <v>5.0885193079456104E-2</v>
      </c>
      <c r="M74" s="175">
        <f t="shared" si="9"/>
        <v>1.9643957241619943E-2</v>
      </c>
      <c r="N74" s="175">
        <f t="shared" si="10"/>
        <v>5.9490797361359702E-3</v>
      </c>
      <c r="O74" s="175">
        <f t="shared" si="11"/>
        <v>2.072257063271948E-2</v>
      </c>
      <c r="P74" s="175">
        <f t="shared" si="12"/>
        <v>1.5396602168715771E-2</v>
      </c>
      <c r="Q74" s="175">
        <f t="shared" si="13"/>
        <v>0.10152262206621485</v>
      </c>
    </row>
    <row r="75" spans="1:17" x14ac:dyDescent="0.3">
      <c r="A75" s="220">
        <v>37653</v>
      </c>
      <c r="B75" s="222">
        <v>282961850</v>
      </c>
      <c r="C75" s="9">
        <v>215857928</v>
      </c>
      <c r="D75" s="10">
        <v>14323248</v>
      </c>
      <c r="E75" s="10">
        <v>5109385</v>
      </c>
      <c r="F75" s="10">
        <v>1732279</v>
      </c>
      <c r="G75" s="10">
        <v>5068076</v>
      </c>
      <c r="H75" s="10">
        <v>3472986</v>
      </c>
      <c r="I75" s="11">
        <v>32551727</v>
      </c>
      <c r="J75" s="221"/>
      <c r="K75" s="175">
        <f t="shared" si="7"/>
        <v>0.76285169891276861</v>
      </c>
      <c r="L75" s="175">
        <f t="shared" si="8"/>
        <v>5.0619007473975734E-2</v>
      </c>
      <c r="M75" s="175">
        <f t="shared" si="9"/>
        <v>1.8056798116071124E-2</v>
      </c>
      <c r="N75" s="175">
        <f t="shared" si="10"/>
        <v>6.121952482286923E-3</v>
      </c>
      <c r="O75" s="175">
        <f t="shared" si="11"/>
        <v>1.7910810238199956E-2</v>
      </c>
      <c r="P75" s="175">
        <f t="shared" si="12"/>
        <v>1.2273689898479247E-2</v>
      </c>
      <c r="Q75" s="175">
        <f t="shared" si="13"/>
        <v>0.11503927826312982</v>
      </c>
    </row>
    <row r="76" spans="1:17" x14ac:dyDescent="0.3">
      <c r="A76" s="220">
        <v>37681</v>
      </c>
      <c r="B76" s="222">
        <v>320731579</v>
      </c>
      <c r="C76" s="9">
        <v>245602700</v>
      </c>
      <c r="D76" s="10">
        <v>15377400</v>
      </c>
      <c r="E76" s="10">
        <v>6629800</v>
      </c>
      <c r="F76" s="10">
        <v>2095750</v>
      </c>
      <c r="G76" s="10">
        <v>6537750</v>
      </c>
      <c r="H76" s="10">
        <v>3808760</v>
      </c>
      <c r="I76" s="11">
        <v>35741500</v>
      </c>
      <c r="J76" s="221"/>
      <c r="K76" s="175">
        <f t="shared" si="7"/>
        <v>0.76575777404195056</v>
      </c>
      <c r="L76" s="175">
        <f t="shared" si="8"/>
        <v>4.7944764428700049E-2</v>
      </c>
      <c r="M76" s="175">
        <f t="shared" si="9"/>
        <v>2.0670867585508318E-2</v>
      </c>
      <c r="N76" s="175">
        <f t="shared" si="10"/>
        <v>6.5342801807488993E-3</v>
      </c>
      <c r="O76" s="175">
        <f t="shared" si="11"/>
        <v>2.0383867470686445E-2</v>
      </c>
      <c r="P76" s="175">
        <f t="shared" si="12"/>
        <v>1.1875226043769142E-2</v>
      </c>
      <c r="Q76" s="175">
        <f t="shared" si="13"/>
        <v>0.11143742100929825</v>
      </c>
    </row>
    <row r="77" spans="1:17" x14ac:dyDescent="0.3">
      <c r="A77" s="220">
        <v>37712</v>
      </c>
      <c r="B77" s="222">
        <v>304703765</v>
      </c>
      <c r="C77" s="9">
        <v>230043411</v>
      </c>
      <c r="D77" s="10">
        <v>15342054</v>
      </c>
      <c r="E77" s="10">
        <v>6800658</v>
      </c>
      <c r="F77" s="10">
        <v>1606290</v>
      </c>
      <c r="G77" s="10">
        <v>5993019</v>
      </c>
      <c r="H77" s="10">
        <v>3846808</v>
      </c>
      <c r="I77" s="11">
        <v>36618306</v>
      </c>
      <c r="J77" s="221"/>
      <c r="K77" s="175">
        <f t="shared" si="7"/>
        <v>0.75497396955367457</v>
      </c>
      <c r="L77" s="175">
        <f t="shared" si="8"/>
        <v>5.0350720149454013E-2</v>
      </c>
      <c r="M77" s="175">
        <f t="shared" si="9"/>
        <v>2.2318916866681974E-2</v>
      </c>
      <c r="N77" s="175">
        <f t="shared" si="10"/>
        <v>5.2716447399328986E-3</v>
      </c>
      <c r="O77" s="175">
        <f t="shared" si="11"/>
        <v>1.9668345745580136E-2</v>
      </c>
      <c r="P77" s="175">
        <f t="shared" si="12"/>
        <v>1.2624747186829148E-2</v>
      </c>
      <c r="Q77" s="175">
        <f t="shared" si="13"/>
        <v>0.1201767428111694</v>
      </c>
    </row>
    <row r="78" spans="1:17" x14ac:dyDescent="0.3">
      <c r="A78" s="220">
        <v>37742</v>
      </c>
      <c r="B78" s="222">
        <v>315840228</v>
      </c>
      <c r="C78" s="9">
        <v>238161600</v>
      </c>
      <c r="D78" s="10">
        <v>17515700</v>
      </c>
      <c r="E78" s="10">
        <v>6401500</v>
      </c>
      <c r="F78" s="10">
        <v>1810600</v>
      </c>
      <c r="G78" s="10">
        <v>6461600</v>
      </c>
      <c r="H78" s="10">
        <v>4304520</v>
      </c>
      <c r="I78" s="11">
        <v>42152900</v>
      </c>
      <c r="J78" s="221"/>
      <c r="K78" s="175">
        <f t="shared" si="7"/>
        <v>0.75405720641767016</v>
      </c>
      <c r="L78" s="175">
        <f t="shared" si="8"/>
        <v>5.5457470097824271E-2</v>
      </c>
      <c r="M78" s="175">
        <f t="shared" si="9"/>
        <v>2.0268159127595362E-2</v>
      </c>
      <c r="N78" s="175">
        <f t="shared" si="10"/>
        <v>5.7326453044480455E-3</v>
      </c>
      <c r="O78" s="175">
        <f t="shared" si="11"/>
        <v>2.0458445211102114E-2</v>
      </c>
      <c r="P78" s="175">
        <f t="shared" si="12"/>
        <v>1.3628789553685353E-2</v>
      </c>
      <c r="Q78" s="175">
        <f t="shared" si="13"/>
        <v>0.13346273293597039</v>
      </c>
    </row>
    <row r="79" spans="1:17" x14ac:dyDescent="0.3">
      <c r="A79" s="220">
        <v>37773</v>
      </c>
      <c r="B79" s="222">
        <v>318544600</v>
      </c>
      <c r="C79" s="9">
        <v>237265900</v>
      </c>
      <c r="D79" s="10">
        <v>18461200</v>
      </c>
      <c r="E79" s="10">
        <v>6930100</v>
      </c>
      <c r="F79" s="10">
        <v>1825150</v>
      </c>
      <c r="G79" s="10">
        <v>9703100</v>
      </c>
      <c r="H79" s="10">
        <v>4074800</v>
      </c>
      <c r="I79" s="11">
        <v>37373100</v>
      </c>
      <c r="J79" s="221"/>
      <c r="K79" s="175">
        <f t="shared" si="7"/>
        <v>0.74484357920366562</v>
      </c>
      <c r="L79" s="175">
        <f t="shared" si="8"/>
        <v>5.7954835837744544E-2</v>
      </c>
      <c r="M79" s="175">
        <f t="shared" si="9"/>
        <v>2.17555092756242E-2</v>
      </c>
      <c r="N79" s="175">
        <f t="shared" si="10"/>
        <v>5.729652927721895E-3</v>
      </c>
      <c r="O79" s="175">
        <f t="shared" si="11"/>
        <v>3.046072669258873E-2</v>
      </c>
      <c r="P79" s="175">
        <f t="shared" si="12"/>
        <v>1.2791929293417626E-2</v>
      </c>
      <c r="Q79" s="175">
        <f t="shared" si="13"/>
        <v>0.11732454419255577</v>
      </c>
    </row>
    <row r="80" spans="1:17" x14ac:dyDescent="0.3">
      <c r="A80" s="220">
        <v>37803</v>
      </c>
      <c r="B80" s="222">
        <v>302676600</v>
      </c>
      <c r="C80" s="9">
        <v>223388600</v>
      </c>
      <c r="D80" s="10">
        <v>17854200</v>
      </c>
      <c r="E80" s="10">
        <v>7046700</v>
      </c>
      <c r="F80" s="10">
        <v>1855800</v>
      </c>
      <c r="G80" s="10">
        <v>6344200</v>
      </c>
      <c r="H80" s="10">
        <v>3563160</v>
      </c>
      <c r="I80" s="11">
        <v>40730400</v>
      </c>
      <c r="J80" s="221"/>
      <c r="K80" s="175">
        <f t="shared" si="7"/>
        <v>0.73804383953037667</v>
      </c>
      <c r="L80" s="175">
        <f t="shared" si="8"/>
        <v>5.8987711636776678E-2</v>
      </c>
      <c r="M80" s="175">
        <f t="shared" si="9"/>
        <v>2.3281284380754906E-2</v>
      </c>
      <c r="N80" s="175">
        <f t="shared" si="10"/>
        <v>6.1312965719847517E-3</v>
      </c>
      <c r="O80" s="175">
        <f t="shared" si="11"/>
        <v>2.0960325310909401E-2</v>
      </c>
      <c r="P80" s="175">
        <f t="shared" si="12"/>
        <v>1.1772168710762577E-2</v>
      </c>
      <c r="Q80" s="175">
        <f t="shared" si="13"/>
        <v>0.13456738974866245</v>
      </c>
    </row>
    <row r="81" spans="1:17" x14ac:dyDescent="0.3">
      <c r="A81" s="220">
        <v>37834</v>
      </c>
      <c r="B81" s="222">
        <v>301567175</v>
      </c>
      <c r="C81" s="9">
        <v>229373990</v>
      </c>
      <c r="D81" s="10">
        <v>18718760</v>
      </c>
      <c r="E81" s="10">
        <v>6815504</v>
      </c>
      <c r="F81" s="10">
        <v>1649104</v>
      </c>
      <c r="G81" s="10">
        <v>5447334</v>
      </c>
      <c r="H81" s="10">
        <v>3321053</v>
      </c>
      <c r="I81" s="11">
        <v>34130555</v>
      </c>
      <c r="J81" s="221"/>
      <c r="K81" s="175">
        <f t="shared" si="7"/>
        <v>0.76060662106212318</v>
      </c>
      <c r="L81" s="175">
        <f t="shared" si="8"/>
        <v>6.2071609749966984E-2</v>
      </c>
      <c r="M81" s="175">
        <f t="shared" si="9"/>
        <v>2.26002846629445E-2</v>
      </c>
      <c r="N81" s="175">
        <f t="shared" si="10"/>
        <v>5.4684466238741E-3</v>
      </c>
      <c r="O81" s="175">
        <f t="shared" si="11"/>
        <v>1.8063418208563317E-2</v>
      </c>
      <c r="P81" s="175">
        <f t="shared" si="12"/>
        <v>1.101264751377533E-2</v>
      </c>
      <c r="Q81" s="175">
        <f t="shared" si="13"/>
        <v>0.11317728794587806</v>
      </c>
    </row>
    <row r="82" spans="1:17" x14ac:dyDescent="0.3">
      <c r="A82" s="220">
        <v>37865</v>
      </c>
      <c r="B82" s="222">
        <v>312600300</v>
      </c>
      <c r="C82" s="9">
        <v>233888600</v>
      </c>
      <c r="D82" s="10">
        <v>17274100</v>
      </c>
      <c r="E82" s="10">
        <v>6347800</v>
      </c>
      <c r="F82" s="10">
        <v>2413400</v>
      </c>
      <c r="G82" s="10">
        <v>6471100</v>
      </c>
      <c r="H82" s="10">
        <v>3785360</v>
      </c>
      <c r="I82" s="11">
        <v>38555900</v>
      </c>
      <c r="J82" s="221"/>
      <c r="K82" s="175">
        <f t="shared" si="7"/>
        <v>0.74820337664423231</v>
      </c>
      <c r="L82" s="175">
        <f t="shared" si="8"/>
        <v>5.5259383948128009E-2</v>
      </c>
      <c r="M82" s="175">
        <f t="shared" si="9"/>
        <v>2.0306442444233099E-2</v>
      </c>
      <c r="N82" s="175">
        <f t="shared" si="10"/>
        <v>7.720402059754901E-3</v>
      </c>
      <c r="O82" s="175">
        <f t="shared" si="11"/>
        <v>2.0700875846888182E-2</v>
      </c>
      <c r="P82" s="175">
        <f t="shared" si="12"/>
        <v>1.2109265410173951E-2</v>
      </c>
      <c r="Q82" s="175">
        <f t="shared" si="13"/>
        <v>0.12333929302051214</v>
      </c>
    </row>
    <row r="83" spans="1:17" x14ac:dyDescent="0.3">
      <c r="A83" s="220">
        <v>37895</v>
      </c>
      <c r="B83" s="222">
        <v>297423594</v>
      </c>
      <c r="C83" s="9">
        <v>224276445</v>
      </c>
      <c r="D83" s="10">
        <v>16380694</v>
      </c>
      <c r="E83" s="10">
        <v>6566526</v>
      </c>
      <c r="F83" s="10">
        <v>1446635</v>
      </c>
      <c r="G83" s="10">
        <v>6109981</v>
      </c>
      <c r="H83" s="10">
        <v>3553879</v>
      </c>
      <c r="I83" s="11">
        <v>35062542</v>
      </c>
      <c r="J83" s="221"/>
      <c r="K83" s="175">
        <f t="shared" si="7"/>
        <v>0.75406406729117803</v>
      </c>
      <c r="L83" s="175">
        <f t="shared" si="8"/>
        <v>5.5075301120865346E-2</v>
      </c>
      <c r="M83" s="175">
        <f t="shared" si="9"/>
        <v>2.2078026533429624E-2</v>
      </c>
      <c r="N83" s="175">
        <f t="shared" si="10"/>
        <v>4.8638878326512317E-3</v>
      </c>
      <c r="O83" s="175">
        <f t="shared" si="11"/>
        <v>2.0543027262322707E-2</v>
      </c>
      <c r="P83" s="175">
        <f t="shared" si="12"/>
        <v>1.1948880558547753E-2</v>
      </c>
      <c r="Q83" s="175">
        <f t="shared" si="13"/>
        <v>0.11788756072929439</v>
      </c>
    </row>
    <row r="84" spans="1:17" x14ac:dyDescent="0.3">
      <c r="A84" s="220">
        <v>37926</v>
      </c>
      <c r="B84" s="222">
        <v>288017900</v>
      </c>
      <c r="C84" s="9">
        <v>223393600</v>
      </c>
      <c r="D84" s="10">
        <v>15481900</v>
      </c>
      <c r="E84" s="10">
        <v>5453600</v>
      </c>
      <c r="F84" s="10">
        <v>1375850</v>
      </c>
      <c r="G84" s="10">
        <v>5902100</v>
      </c>
      <c r="H84" s="10">
        <v>3426440</v>
      </c>
      <c r="I84" s="11">
        <v>29653000</v>
      </c>
      <c r="J84" s="221"/>
      <c r="K84" s="175">
        <f t="shared" si="7"/>
        <v>0.77562401503517664</v>
      </c>
      <c r="L84" s="175">
        <f t="shared" si="8"/>
        <v>5.3753256308028075E-2</v>
      </c>
      <c r="M84" s="175">
        <f t="shared" si="9"/>
        <v>1.8934934252350287E-2</v>
      </c>
      <c r="N84" s="175">
        <f t="shared" si="10"/>
        <v>4.776960043108432E-3</v>
      </c>
      <c r="O84" s="175">
        <f t="shared" si="11"/>
        <v>2.0492129135029454E-2</v>
      </c>
      <c r="P84" s="175">
        <f t="shared" si="12"/>
        <v>1.1896621703026097E-2</v>
      </c>
      <c r="Q84" s="175">
        <f t="shared" si="13"/>
        <v>0.10295540659104868</v>
      </c>
    </row>
    <row r="85" spans="1:17" x14ac:dyDescent="0.3">
      <c r="A85" s="220">
        <v>37956</v>
      </c>
      <c r="B85" s="222">
        <v>385178642</v>
      </c>
      <c r="C85" s="9">
        <v>309226200</v>
      </c>
      <c r="D85" s="10">
        <v>18208165</v>
      </c>
      <c r="E85" s="10">
        <v>6085400</v>
      </c>
      <c r="F85" s="10">
        <v>1714900</v>
      </c>
      <c r="G85" s="10">
        <v>6695700</v>
      </c>
      <c r="H85" s="10">
        <v>3619040</v>
      </c>
      <c r="I85" s="11">
        <v>34227800</v>
      </c>
      <c r="J85" s="221"/>
      <c r="K85" s="175">
        <f t="shared" si="7"/>
        <v>0.80281242592884994</v>
      </c>
      <c r="L85" s="175">
        <f t="shared" si="8"/>
        <v>4.7272000611082686E-2</v>
      </c>
      <c r="M85" s="175">
        <f t="shared" si="9"/>
        <v>1.5798902993172711E-2</v>
      </c>
      <c r="N85" s="175">
        <f t="shared" si="10"/>
        <v>4.4522198611417294E-3</v>
      </c>
      <c r="O85" s="175">
        <f t="shared" si="11"/>
        <v>1.7383362600878582E-2</v>
      </c>
      <c r="P85" s="175">
        <f t="shared" si="12"/>
        <v>9.395744221975838E-3</v>
      </c>
      <c r="Q85" s="175">
        <f t="shared" si="13"/>
        <v>8.8862144126880219E-2</v>
      </c>
    </row>
    <row r="86" spans="1:17" x14ac:dyDescent="0.3">
      <c r="A86" s="220">
        <v>37987</v>
      </c>
      <c r="B86" s="222">
        <v>291568046</v>
      </c>
      <c r="C86" s="9">
        <v>221656981</v>
      </c>
      <c r="D86" s="10">
        <v>19045178</v>
      </c>
      <c r="E86" s="10">
        <v>4821884</v>
      </c>
      <c r="F86" s="10">
        <v>1925136</v>
      </c>
      <c r="G86" s="10">
        <v>5212260</v>
      </c>
      <c r="H86" s="10">
        <v>4107232</v>
      </c>
      <c r="I86" s="11">
        <v>30443532</v>
      </c>
      <c r="J86" s="221"/>
      <c r="K86" s="175">
        <f t="shared" si="7"/>
        <v>0.76022384496825146</v>
      </c>
      <c r="L86" s="175">
        <f t="shared" si="8"/>
        <v>6.5319839609584651E-2</v>
      </c>
      <c r="M86" s="175">
        <f t="shared" si="9"/>
        <v>1.6537765595891121E-2</v>
      </c>
      <c r="N86" s="175">
        <f t="shared" si="10"/>
        <v>6.6026988430686944E-3</v>
      </c>
      <c r="O86" s="175">
        <f t="shared" si="11"/>
        <v>1.7876650310301837E-2</v>
      </c>
      <c r="P86" s="175">
        <f t="shared" si="12"/>
        <v>1.4086701393883197E-2</v>
      </c>
      <c r="Q86" s="175">
        <f t="shared" si="13"/>
        <v>0.10441312900248335</v>
      </c>
    </row>
    <row r="87" spans="1:17" x14ac:dyDescent="0.3">
      <c r="A87" s="220">
        <v>38018</v>
      </c>
      <c r="B87" s="222">
        <v>280386900</v>
      </c>
      <c r="C87" s="9">
        <v>217577000</v>
      </c>
      <c r="D87" s="10">
        <v>16946200</v>
      </c>
      <c r="E87" s="10">
        <v>6503100</v>
      </c>
      <c r="F87" s="10">
        <v>1292900</v>
      </c>
      <c r="G87" s="10">
        <v>6268400</v>
      </c>
      <c r="H87" s="10">
        <v>2810120</v>
      </c>
      <c r="I87" s="11">
        <v>27133000</v>
      </c>
      <c r="J87" s="221"/>
      <c r="K87" s="175">
        <f t="shared" si="7"/>
        <v>0.77598846451100245</v>
      </c>
      <c r="L87" s="175">
        <f t="shared" si="8"/>
        <v>6.0438629622139979E-2</v>
      </c>
      <c r="M87" s="175">
        <f t="shared" si="9"/>
        <v>2.3193308959869381E-2</v>
      </c>
      <c r="N87" s="175">
        <f t="shared" si="10"/>
        <v>4.6111284086382065E-3</v>
      </c>
      <c r="O87" s="175">
        <f t="shared" si="11"/>
        <v>2.2356251308459845E-2</v>
      </c>
      <c r="P87" s="175">
        <f t="shared" si="12"/>
        <v>1.0022294194200941E-2</v>
      </c>
      <c r="Q87" s="175">
        <f t="shared" si="13"/>
        <v>9.6769856223668085E-2</v>
      </c>
    </row>
    <row r="88" spans="1:17" x14ac:dyDescent="0.3">
      <c r="A88" s="220">
        <v>38047</v>
      </c>
      <c r="B88" s="222">
        <v>343707853</v>
      </c>
      <c r="C88" s="9">
        <v>258675464</v>
      </c>
      <c r="D88" s="10">
        <v>20487130</v>
      </c>
      <c r="E88" s="10">
        <v>9198670</v>
      </c>
      <c r="F88" s="10">
        <v>1726030</v>
      </c>
      <c r="G88" s="10">
        <v>7456995</v>
      </c>
      <c r="H88" s="10">
        <v>4453396</v>
      </c>
      <c r="I88" s="11">
        <v>41695347</v>
      </c>
      <c r="J88" s="221"/>
      <c r="K88" s="175">
        <f t="shared" si="7"/>
        <v>0.75260271693588565</v>
      </c>
      <c r="L88" s="175">
        <f t="shared" si="8"/>
        <v>5.9606231923947345E-2</v>
      </c>
      <c r="M88" s="175">
        <f t="shared" si="9"/>
        <v>2.6763048675527354E-2</v>
      </c>
      <c r="N88" s="175">
        <f t="shared" si="10"/>
        <v>5.021793901229251E-3</v>
      </c>
      <c r="O88" s="175">
        <f t="shared" si="11"/>
        <v>2.1695736466050428E-2</v>
      </c>
      <c r="P88" s="175">
        <f t="shared" si="12"/>
        <v>1.295692245937715E-2</v>
      </c>
      <c r="Q88" s="175">
        <f t="shared" si="13"/>
        <v>0.12131042871458628</v>
      </c>
    </row>
    <row r="89" spans="1:17" x14ac:dyDescent="0.3">
      <c r="A89" s="220">
        <v>38078</v>
      </c>
      <c r="B89" s="222">
        <v>310048190</v>
      </c>
      <c r="C89" s="9">
        <v>234257526</v>
      </c>
      <c r="D89" s="10">
        <v>17518837</v>
      </c>
      <c r="E89" s="10">
        <v>6612957</v>
      </c>
      <c r="F89" s="10">
        <v>1212472</v>
      </c>
      <c r="G89" s="10">
        <v>6333564</v>
      </c>
      <c r="H89" s="10">
        <v>4140657</v>
      </c>
      <c r="I89" s="11">
        <v>36094471</v>
      </c>
      <c r="J89" s="221"/>
      <c r="K89" s="175">
        <f t="shared" si="7"/>
        <v>0.75555198693467618</v>
      </c>
      <c r="L89" s="175">
        <f t="shared" si="8"/>
        <v>5.6503593844556874E-2</v>
      </c>
      <c r="M89" s="175">
        <f t="shared" si="9"/>
        <v>2.1328803757893249E-2</v>
      </c>
      <c r="N89" s="175">
        <f t="shared" si="10"/>
        <v>3.9105920921518687E-3</v>
      </c>
      <c r="O89" s="175">
        <f t="shared" si="11"/>
        <v>2.0427676097705974E-2</v>
      </c>
      <c r="P89" s="175">
        <f t="shared" si="12"/>
        <v>1.3354882026564967E-2</v>
      </c>
      <c r="Q89" s="175">
        <f t="shared" si="13"/>
        <v>0.11641568041406725</v>
      </c>
    </row>
    <row r="90" spans="1:17" x14ac:dyDescent="0.3">
      <c r="A90" s="220">
        <v>38108</v>
      </c>
      <c r="B90" s="222">
        <v>306016571</v>
      </c>
      <c r="C90" s="9">
        <v>229412703</v>
      </c>
      <c r="D90" s="10">
        <v>17979990</v>
      </c>
      <c r="E90" s="10">
        <v>6801351</v>
      </c>
      <c r="F90" s="10">
        <v>1320059</v>
      </c>
      <c r="G90" s="10">
        <v>6604421</v>
      </c>
      <c r="H90" s="10">
        <v>3101340</v>
      </c>
      <c r="I90" s="11">
        <v>38142110</v>
      </c>
      <c r="J90" s="221"/>
      <c r="K90" s="175">
        <f t="shared" ref="K90:K121" si="14">C90/$B90</f>
        <v>0.74967411813787044</v>
      </c>
      <c r="L90" s="175">
        <f t="shared" ref="L90:L121" si="15">D90/$B90</f>
        <v>5.8754955462853024E-2</v>
      </c>
      <c r="M90" s="175">
        <f t="shared" ref="M90:M121" si="16">E90/$B90</f>
        <v>2.2225433667773502E-2</v>
      </c>
      <c r="N90" s="175">
        <f t="shared" ref="N90:N121" si="17">F90/$B90</f>
        <v>4.3136846991204273E-3</v>
      </c>
      <c r="O90" s="175">
        <f t="shared" ref="O90:O121" si="18">G90/$B90</f>
        <v>2.1581906425583729E-2</v>
      </c>
      <c r="P90" s="175">
        <f t="shared" ref="P90:P121" si="19">H90/$B90</f>
        <v>1.0134549216944202E-2</v>
      </c>
      <c r="Q90" s="175">
        <f t="shared" ref="Q90:Q121" si="20">I90/$B90</f>
        <v>0.12464066856039636</v>
      </c>
    </row>
    <row r="91" spans="1:17" x14ac:dyDescent="0.3">
      <c r="A91" s="220">
        <v>38139</v>
      </c>
      <c r="B91" s="222">
        <v>333504974</v>
      </c>
      <c r="C91" s="9">
        <v>249043275</v>
      </c>
      <c r="D91" s="10">
        <v>19452057</v>
      </c>
      <c r="E91" s="10">
        <v>7299780</v>
      </c>
      <c r="F91" s="10">
        <v>1441172</v>
      </c>
      <c r="G91" s="10">
        <v>7766512</v>
      </c>
      <c r="H91" s="10">
        <v>3950560</v>
      </c>
      <c r="I91" s="11">
        <v>40025450</v>
      </c>
      <c r="J91" s="221"/>
      <c r="K91" s="175">
        <f t="shared" si="14"/>
        <v>0.74674530941178707</v>
      </c>
      <c r="L91" s="175">
        <f t="shared" si="15"/>
        <v>5.8326137588580615E-2</v>
      </c>
      <c r="M91" s="175">
        <f t="shared" si="16"/>
        <v>2.1888069351553359E-2</v>
      </c>
      <c r="N91" s="175">
        <f t="shared" si="17"/>
        <v>4.3212908722614733E-3</v>
      </c>
      <c r="O91" s="175">
        <f t="shared" si="18"/>
        <v>2.328754473089208E-2</v>
      </c>
      <c r="P91" s="175">
        <f t="shared" si="19"/>
        <v>1.1845580450023513E-2</v>
      </c>
      <c r="Q91" s="175">
        <f t="shared" si="20"/>
        <v>0.12001455186692359</v>
      </c>
    </row>
    <row r="92" spans="1:17" x14ac:dyDescent="0.3">
      <c r="A92" s="220">
        <v>38169</v>
      </c>
      <c r="B92" s="222">
        <v>316500650</v>
      </c>
      <c r="C92" s="9">
        <v>237061532</v>
      </c>
      <c r="D92" s="10">
        <v>20778055</v>
      </c>
      <c r="E92" s="10">
        <v>7609089</v>
      </c>
      <c r="F92" s="10">
        <v>1467700</v>
      </c>
      <c r="G92" s="10">
        <v>6782498</v>
      </c>
      <c r="H92" s="10">
        <v>3944611</v>
      </c>
      <c r="I92" s="11">
        <v>35569701</v>
      </c>
      <c r="J92" s="221"/>
      <c r="K92" s="175">
        <f t="shared" si="14"/>
        <v>0.74900804153166822</v>
      </c>
      <c r="L92" s="175">
        <f t="shared" si="15"/>
        <v>6.5649328050353131E-2</v>
      </c>
      <c r="M92" s="175">
        <f t="shared" si="16"/>
        <v>2.4041306076306636E-2</v>
      </c>
      <c r="N92" s="175">
        <f t="shared" si="17"/>
        <v>4.6372732567847809E-3</v>
      </c>
      <c r="O92" s="175">
        <f t="shared" si="18"/>
        <v>2.1429649512568143E-2</v>
      </c>
      <c r="P92" s="175">
        <f t="shared" si="19"/>
        <v>1.2463200312542801E-2</v>
      </c>
      <c r="Q92" s="175">
        <f t="shared" si="20"/>
        <v>0.11238429052199418</v>
      </c>
    </row>
    <row r="93" spans="1:17" x14ac:dyDescent="0.3">
      <c r="A93" s="220">
        <v>38200</v>
      </c>
      <c r="B93" s="222">
        <v>315610132</v>
      </c>
      <c r="C93" s="223">
        <v>233336644</v>
      </c>
      <c r="D93" s="224">
        <v>20036158</v>
      </c>
      <c r="E93" s="224">
        <v>6894292</v>
      </c>
      <c r="F93" s="224">
        <v>1394641</v>
      </c>
      <c r="G93" s="224">
        <v>6683853</v>
      </c>
      <c r="H93" s="224">
        <v>4273654</v>
      </c>
      <c r="I93" s="222">
        <v>39773816</v>
      </c>
      <c r="J93" s="221"/>
      <c r="K93" s="175">
        <f t="shared" si="14"/>
        <v>0.73931924340122257</v>
      </c>
      <c r="L93" s="175">
        <f t="shared" si="15"/>
        <v>6.348388713959284E-2</v>
      </c>
      <c r="M93" s="175">
        <f t="shared" si="16"/>
        <v>2.1844330396845434E-2</v>
      </c>
      <c r="N93" s="175">
        <f t="shared" si="17"/>
        <v>4.418872712235994E-3</v>
      </c>
      <c r="O93" s="175">
        <f t="shared" si="18"/>
        <v>2.1177561561933633E-2</v>
      </c>
      <c r="P93" s="175">
        <f t="shared" si="19"/>
        <v>1.3540927767173203E-2</v>
      </c>
      <c r="Q93" s="175">
        <f t="shared" si="20"/>
        <v>0.12602198715217419</v>
      </c>
    </row>
    <row r="94" spans="1:17" x14ac:dyDescent="0.3">
      <c r="A94" s="220">
        <v>38231</v>
      </c>
      <c r="B94" s="222">
        <v>331522790</v>
      </c>
      <c r="C94" s="223">
        <v>241842021</v>
      </c>
      <c r="D94" s="224">
        <v>20131804</v>
      </c>
      <c r="E94" s="224">
        <v>7980843</v>
      </c>
      <c r="F94" s="224">
        <v>2069521</v>
      </c>
      <c r="G94" s="224">
        <v>7545516</v>
      </c>
      <c r="H94" s="224">
        <v>4034676</v>
      </c>
      <c r="I94" s="222">
        <v>44499121</v>
      </c>
      <c r="J94" s="221"/>
      <c r="K94" s="175">
        <f t="shared" si="14"/>
        <v>0.72948837393652488</v>
      </c>
      <c r="L94" s="175">
        <f t="shared" si="15"/>
        <v>6.0725249084685851E-2</v>
      </c>
      <c r="M94" s="175">
        <f t="shared" si="16"/>
        <v>2.4073286183432518E-2</v>
      </c>
      <c r="N94" s="175">
        <f t="shared" si="17"/>
        <v>6.2424697861646252E-3</v>
      </c>
      <c r="O94" s="175">
        <f t="shared" si="18"/>
        <v>2.2760172837589836E-2</v>
      </c>
      <c r="P94" s="175">
        <f t="shared" si="19"/>
        <v>1.2170131652185962E-2</v>
      </c>
      <c r="Q94" s="175">
        <f t="shared" si="20"/>
        <v>0.13422643131110232</v>
      </c>
    </row>
    <row r="95" spans="1:17" x14ac:dyDescent="0.3">
      <c r="A95" s="220">
        <v>38261</v>
      </c>
      <c r="B95" s="222">
        <v>300330596</v>
      </c>
      <c r="C95" s="223">
        <v>220926539</v>
      </c>
      <c r="D95" s="224">
        <v>19731240</v>
      </c>
      <c r="E95" s="224">
        <v>6163203</v>
      </c>
      <c r="F95" s="224">
        <v>1412226</v>
      </c>
      <c r="G95" s="224">
        <v>6755066</v>
      </c>
      <c r="H95" s="224">
        <v>3340344</v>
      </c>
      <c r="I95" s="222">
        <v>38649031</v>
      </c>
      <c r="J95" s="221"/>
      <c r="K95" s="175">
        <f t="shared" si="14"/>
        <v>0.73561116297321905</v>
      </c>
      <c r="L95" s="175">
        <f t="shared" si="15"/>
        <v>6.5698401237814605E-2</v>
      </c>
      <c r="M95" s="175">
        <f t="shared" si="16"/>
        <v>2.0521395695562099E-2</v>
      </c>
      <c r="N95" s="175">
        <f t="shared" si="17"/>
        <v>4.7022381962042925E-3</v>
      </c>
      <c r="O95" s="175">
        <f t="shared" si="18"/>
        <v>2.2492100671621214E-2</v>
      </c>
      <c r="P95" s="175">
        <f t="shared" si="19"/>
        <v>1.1122223458045546E-2</v>
      </c>
      <c r="Q95" s="175">
        <f t="shared" si="20"/>
        <v>0.12868829055298781</v>
      </c>
    </row>
    <row r="96" spans="1:17" x14ac:dyDescent="0.3">
      <c r="A96" s="220">
        <v>38292</v>
      </c>
      <c r="B96" s="222">
        <v>316038109</v>
      </c>
      <c r="C96" s="223">
        <v>235858518</v>
      </c>
      <c r="D96" s="224">
        <v>19595818</v>
      </c>
      <c r="E96" s="224">
        <v>5722920</v>
      </c>
      <c r="F96" s="224">
        <v>1174448</v>
      </c>
      <c r="G96" s="224">
        <v>6777420</v>
      </c>
      <c r="H96" s="224">
        <v>3493710</v>
      </c>
      <c r="I96" s="222">
        <v>41032877</v>
      </c>
      <c r="J96" s="221"/>
      <c r="K96" s="175">
        <f t="shared" si="14"/>
        <v>0.74629771310269422</v>
      </c>
      <c r="L96" s="175">
        <f t="shared" si="15"/>
        <v>6.2004604640891581E-2</v>
      </c>
      <c r="M96" s="175">
        <f t="shared" si="16"/>
        <v>1.8108322499803337E-2</v>
      </c>
      <c r="N96" s="175">
        <f t="shared" si="17"/>
        <v>3.7161594331650682E-3</v>
      </c>
      <c r="O96" s="175">
        <f t="shared" si="18"/>
        <v>2.144494542586951E-2</v>
      </c>
      <c r="P96" s="175">
        <f t="shared" si="19"/>
        <v>1.1054711126625556E-2</v>
      </c>
      <c r="Q96" s="175">
        <f t="shared" si="20"/>
        <v>0.12983521870142567</v>
      </c>
    </row>
    <row r="97" spans="1:17" x14ac:dyDescent="0.3">
      <c r="A97" s="220">
        <v>38322</v>
      </c>
      <c r="B97" s="222">
        <v>410336644</v>
      </c>
      <c r="C97" s="223">
        <v>315369381</v>
      </c>
      <c r="D97" s="224">
        <v>23456486</v>
      </c>
      <c r="E97" s="224">
        <v>8588640</v>
      </c>
      <c r="F97" s="224">
        <v>1767641</v>
      </c>
      <c r="G97" s="224">
        <v>9925325</v>
      </c>
      <c r="H97" s="224">
        <v>4071822</v>
      </c>
      <c r="I97" s="222">
        <v>42481213</v>
      </c>
      <c r="J97" s="221"/>
      <c r="K97" s="175">
        <f t="shared" si="14"/>
        <v>0.76856255860005518</v>
      </c>
      <c r="L97" s="175">
        <f t="shared" si="15"/>
        <v>5.7164005074818516E-2</v>
      </c>
      <c r="M97" s="175">
        <f t="shared" si="16"/>
        <v>2.0930716584990152E-2</v>
      </c>
      <c r="N97" s="175">
        <f t="shared" si="17"/>
        <v>4.307782465560156E-3</v>
      </c>
      <c r="O97" s="175">
        <f t="shared" si="18"/>
        <v>2.4188249197651477E-2</v>
      </c>
      <c r="P97" s="175">
        <f t="shared" si="19"/>
        <v>9.9231254618342112E-3</v>
      </c>
      <c r="Q97" s="175">
        <f t="shared" si="20"/>
        <v>0.1035277097991765</v>
      </c>
    </row>
    <row r="98" spans="1:17" x14ac:dyDescent="0.3">
      <c r="A98" s="220">
        <v>38353</v>
      </c>
      <c r="B98" s="37">
        <v>304604903</v>
      </c>
      <c r="C98" s="44">
        <v>224933536</v>
      </c>
      <c r="D98" s="45">
        <v>19235806</v>
      </c>
      <c r="E98" s="45">
        <v>6067643</v>
      </c>
      <c r="F98" s="45">
        <v>1373654</v>
      </c>
      <c r="G98" s="45">
        <v>6981880</v>
      </c>
      <c r="H98" s="45">
        <v>3311992</v>
      </c>
      <c r="I98" s="37">
        <v>39147608</v>
      </c>
      <c r="J98" s="221"/>
      <c r="K98" s="175">
        <f t="shared" si="14"/>
        <v>0.73844358309623137</v>
      </c>
      <c r="L98" s="175">
        <f t="shared" si="15"/>
        <v>6.3150020930556064E-2</v>
      </c>
      <c r="M98" s="175">
        <f t="shared" si="16"/>
        <v>1.9919715474835939E-2</v>
      </c>
      <c r="N98" s="175">
        <f t="shared" si="17"/>
        <v>4.5096253752685E-3</v>
      </c>
      <c r="O98" s="175">
        <f t="shared" si="18"/>
        <v>2.2921101831377941E-2</v>
      </c>
      <c r="P98" s="175">
        <f t="shared" si="19"/>
        <v>1.0873075145477877E-2</v>
      </c>
      <c r="Q98" s="175">
        <f t="shared" si="20"/>
        <v>0.12851929701210357</v>
      </c>
    </row>
    <row r="99" spans="1:17" x14ac:dyDescent="0.3">
      <c r="A99" s="220">
        <v>38384</v>
      </c>
      <c r="B99" s="11">
        <v>306782797</v>
      </c>
      <c r="C99" s="9">
        <v>227250686</v>
      </c>
      <c r="D99" s="10">
        <v>18789010</v>
      </c>
      <c r="E99" s="10">
        <v>6479575</v>
      </c>
      <c r="F99" s="10">
        <v>1630493</v>
      </c>
      <c r="G99" s="10">
        <v>5374497</v>
      </c>
      <c r="H99" s="10">
        <v>5100901</v>
      </c>
      <c r="I99" s="11">
        <v>38567156</v>
      </c>
      <c r="J99" s="221"/>
      <c r="K99" s="175">
        <f t="shared" si="14"/>
        <v>0.74075433245365452</v>
      </c>
      <c r="L99" s="175">
        <f t="shared" si="15"/>
        <v>6.124531813301122E-2</v>
      </c>
      <c r="M99" s="175">
        <f t="shared" si="16"/>
        <v>2.1121050669604527E-2</v>
      </c>
      <c r="N99" s="175">
        <f t="shared" si="17"/>
        <v>5.3148123556615206E-3</v>
      </c>
      <c r="O99" s="175">
        <f t="shared" si="18"/>
        <v>1.7518899535947579E-2</v>
      </c>
      <c r="P99" s="175">
        <f t="shared" si="19"/>
        <v>1.6627076387206941E-2</v>
      </c>
      <c r="Q99" s="175">
        <f t="shared" si="20"/>
        <v>0.12571485877677815</v>
      </c>
    </row>
    <row r="100" spans="1:17" x14ac:dyDescent="0.3">
      <c r="A100" s="220">
        <v>38412</v>
      </c>
      <c r="B100" s="11">
        <v>360816938</v>
      </c>
      <c r="C100" s="9">
        <v>264777279</v>
      </c>
      <c r="D100" s="10">
        <v>21500120</v>
      </c>
      <c r="E100" s="10">
        <v>8904812</v>
      </c>
      <c r="F100" s="10">
        <v>1667318</v>
      </c>
      <c r="G100" s="10">
        <v>7957744</v>
      </c>
      <c r="H100" s="10">
        <v>5914660</v>
      </c>
      <c r="I100" s="11">
        <v>45775643</v>
      </c>
      <c r="J100" s="221"/>
      <c r="K100" s="175">
        <f t="shared" si="14"/>
        <v>0.73382718801299729</v>
      </c>
      <c r="L100" s="175">
        <f t="shared" si="15"/>
        <v>5.9587335669923566E-2</v>
      </c>
      <c r="M100" s="175">
        <f t="shared" si="16"/>
        <v>2.4679584194021401E-2</v>
      </c>
      <c r="N100" s="175">
        <f t="shared" si="17"/>
        <v>4.6209526893108326E-3</v>
      </c>
      <c r="O100" s="175">
        <f t="shared" si="18"/>
        <v>2.2054796108269173E-2</v>
      </c>
      <c r="P100" s="175">
        <f t="shared" si="19"/>
        <v>1.6392412265302247E-2</v>
      </c>
      <c r="Q100" s="175">
        <f t="shared" si="20"/>
        <v>0.12686666888127077</v>
      </c>
    </row>
    <row r="101" spans="1:17" x14ac:dyDescent="0.3">
      <c r="A101" s="220">
        <v>38443</v>
      </c>
      <c r="B101" s="11">
        <v>332942896</v>
      </c>
      <c r="C101" s="9">
        <v>243829942</v>
      </c>
      <c r="D101" s="10">
        <v>21775303</v>
      </c>
      <c r="E101" s="10">
        <v>7437743</v>
      </c>
      <c r="F101" s="10">
        <v>1758478</v>
      </c>
      <c r="G101" s="10">
        <v>7360782</v>
      </c>
      <c r="H101" s="10">
        <v>5344157</v>
      </c>
      <c r="I101" s="11">
        <v>42369900</v>
      </c>
      <c r="J101" s="221"/>
      <c r="K101" s="175">
        <f t="shared" si="14"/>
        <v>0.73234763357137378</v>
      </c>
      <c r="L101" s="175">
        <f t="shared" si="15"/>
        <v>6.5402515751529958E-2</v>
      </c>
      <c r="M101" s="175">
        <f t="shared" si="16"/>
        <v>2.2339395401906999E-2</v>
      </c>
      <c r="N101" s="175">
        <f t="shared" si="17"/>
        <v>5.2816204253836969E-3</v>
      </c>
      <c r="O101" s="175">
        <f t="shared" si="18"/>
        <v>2.2108241648742071E-2</v>
      </c>
      <c r="P101" s="175">
        <f t="shared" si="19"/>
        <v>1.6051272047564576E-2</v>
      </c>
      <c r="Q101" s="175">
        <f t="shared" si="20"/>
        <v>0.1272587597123562</v>
      </c>
    </row>
    <row r="102" spans="1:17" x14ac:dyDescent="0.3">
      <c r="A102" s="220">
        <v>38473</v>
      </c>
      <c r="B102" s="11">
        <v>331653196</v>
      </c>
      <c r="C102" s="9">
        <v>248903249</v>
      </c>
      <c r="D102" s="10">
        <v>21346715</v>
      </c>
      <c r="E102" s="10">
        <v>6608088</v>
      </c>
      <c r="F102" s="10">
        <v>1812940</v>
      </c>
      <c r="G102" s="10">
        <v>7378246</v>
      </c>
      <c r="H102" s="10">
        <v>5340658</v>
      </c>
      <c r="I102" s="11">
        <v>37029149</v>
      </c>
      <c r="J102" s="221"/>
      <c r="K102" s="175">
        <f t="shared" si="14"/>
        <v>0.75049253859745713</v>
      </c>
      <c r="L102" s="175">
        <f t="shared" si="15"/>
        <v>6.4364568945688677E-2</v>
      </c>
      <c r="M102" s="175">
        <f t="shared" si="16"/>
        <v>1.9924692659979672E-2</v>
      </c>
      <c r="N102" s="175">
        <f t="shared" si="17"/>
        <v>5.4663727709109728E-3</v>
      </c>
      <c r="O102" s="175">
        <f t="shared" si="18"/>
        <v>2.2246871397554692E-2</v>
      </c>
      <c r="P102" s="175">
        <f t="shared" si="19"/>
        <v>1.6103140462424489E-2</v>
      </c>
      <c r="Q102" s="175">
        <f t="shared" si="20"/>
        <v>0.11165021005858179</v>
      </c>
    </row>
    <row r="103" spans="1:17" x14ac:dyDescent="0.3">
      <c r="A103" s="220">
        <v>38504</v>
      </c>
      <c r="B103" s="11">
        <v>361733933</v>
      </c>
      <c r="C103" s="9">
        <v>264153776</v>
      </c>
      <c r="D103" s="10">
        <v>24926060</v>
      </c>
      <c r="E103" s="10">
        <v>8980469</v>
      </c>
      <c r="F103" s="10">
        <v>1598987</v>
      </c>
      <c r="G103" s="10">
        <v>8815080</v>
      </c>
      <c r="H103" s="10">
        <v>6108066</v>
      </c>
      <c r="I103" s="11">
        <v>43581299</v>
      </c>
      <c r="J103" s="221"/>
      <c r="K103" s="175">
        <f t="shared" si="14"/>
        <v>0.73024328629960189</v>
      </c>
      <c r="L103" s="175">
        <f t="shared" si="15"/>
        <v>6.8907165532629197E-2</v>
      </c>
      <c r="M103" s="175">
        <f t="shared" si="16"/>
        <v>2.4826172445370227E-2</v>
      </c>
      <c r="N103" s="175">
        <f t="shared" si="17"/>
        <v>4.4203400735423953E-3</v>
      </c>
      <c r="O103" s="175">
        <f t="shared" si="18"/>
        <v>2.4368960707924516E-2</v>
      </c>
      <c r="P103" s="175">
        <f t="shared" si="19"/>
        <v>1.6885521215395626E-2</v>
      </c>
      <c r="Q103" s="175">
        <f t="shared" si="20"/>
        <v>0.12047887970742296</v>
      </c>
    </row>
    <row r="104" spans="1:17" x14ac:dyDescent="0.3">
      <c r="A104" s="220">
        <v>38534</v>
      </c>
      <c r="B104" s="11">
        <v>337106139</v>
      </c>
      <c r="C104" s="9">
        <v>247059464</v>
      </c>
      <c r="D104" s="10">
        <v>24539486</v>
      </c>
      <c r="E104" s="10">
        <v>7608770</v>
      </c>
      <c r="F104" s="10">
        <v>2170003</v>
      </c>
      <c r="G104" s="10">
        <v>7273465</v>
      </c>
      <c r="H104" s="10">
        <v>5773332</v>
      </c>
      <c r="I104" s="11">
        <v>40410157</v>
      </c>
      <c r="J104" s="221"/>
      <c r="K104" s="175">
        <f t="shared" si="14"/>
        <v>0.73288331305055232</v>
      </c>
      <c r="L104" s="175">
        <f t="shared" si="15"/>
        <v>7.2794539051690185E-2</v>
      </c>
      <c r="M104" s="175">
        <f t="shared" si="16"/>
        <v>2.2570843778077859E-2</v>
      </c>
      <c r="N104" s="175">
        <f t="shared" si="17"/>
        <v>6.4371506447113381E-3</v>
      </c>
      <c r="O104" s="175">
        <f t="shared" si="18"/>
        <v>2.1576186721417139E-2</v>
      </c>
      <c r="P104" s="175">
        <f t="shared" si="19"/>
        <v>1.7126155035699305E-2</v>
      </c>
      <c r="Q104" s="175">
        <f t="shared" si="20"/>
        <v>0.11987369058265653</v>
      </c>
    </row>
    <row r="105" spans="1:17" x14ac:dyDescent="0.3">
      <c r="A105" s="220">
        <v>38565</v>
      </c>
      <c r="B105" s="11">
        <v>330420745</v>
      </c>
      <c r="C105" s="9">
        <v>240380771</v>
      </c>
      <c r="D105" s="10">
        <v>22157860</v>
      </c>
      <c r="E105" s="10">
        <v>8910785</v>
      </c>
      <c r="F105" s="10">
        <v>1606690</v>
      </c>
      <c r="G105" s="10">
        <v>7305637</v>
      </c>
      <c r="H105" s="10">
        <v>4906702</v>
      </c>
      <c r="I105" s="11">
        <v>41934779</v>
      </c>
      <c r="J105" s="221"/>
      <c r="K105" s="175">
        <f t="shared" si="14"/>
        <v>0.72749902854919113</v>
      </c>
      <c r="L105" s="175">
        <f t="shared" si="15"/>
        <v>6.7059530417801091E-2</v>
      </c>
      <c r="M105" s="175">
        <f t="shared" si="16"/>
        <v>2.696799500285613E-2</v>
      </c>
      <c r="N105" s="175">
        <f t="shared" si="17"/>
        <v>4.8625578881253354E-3</v>
      </c>
      <c r="O105" s="175">
        <f t="shared" si="18"/>
        <v>2.2110103891933297E-2</v>
      </c>
      <c r="P105" s="175">
        <f t="shared" si="19"/>
        <v>1.4849860592136853E-2</v>
      </c>
      <c r="Q105" s="175">
        <f t="shared" si="20"/>
        <v>0.12691327537561239</v>
      </c>
    </row>
    <row r="106" spans="1:17" x14ac:dyDescent="0.3">
      <c r="A106" s="220">
        <v>38596</v>
      </c>
      <c r="B106" s="11">
        <v>393919689</v>
      </c>
      <c r="C106" s="9">
        <v>295036272</v>
      </c>
      <c r="D106" s="10">
        <v>24498532</v>
      </c>
      <c r="E106" s="10">
        <v>9985576</v>
      </c>
      <c r="F106" s="10">
        <v>1525698</v>
      </c>
      <c r="G106" s="10">
        <v>9011125</v>
      </c>
      <c r="H106" s="10">
        <v>5198747</v>
      </c>
      <c r="I106" s="11">
        <v>44567606</v>
      </c>
      <c r="J106" s="221"/>
      <c r="K106" s="175">
        <f t="shared" si="14"/>
        <v>0.74897569286007437</v>
      </c>
      <c r="L106" s="175">
        <f t="shared" si="15"/>
        <v>6.219169207355868E-2</v>
      </c>
      <c r="M106" s="175">
        <f t="shared" si="16"/>
        <v>2.5349268591649401E-2</v>
      </c>
      <c r="N106" s="175">
        <f t="shared" si="17"/>
        <v>3.8731194266352093E-3</v>
      </c>
      <c r="O106" s="175">
        <f t="shared" si="18"/>
        <v>2.2875538470482494E-2</v>
      </c>
      <c r="P106" s="175">
        <f t="shared" si="19"/>
        <v>1.3197479448659902E-2</v>
      </c>
      <c r="Q106" s="175">
        <f t="shared" si="20"/>
        <v>0.113138812921839</v>
      </c>
    </row>
    <row r="107" spans="1:17" x14ac:dyDescent="0.3">
      <c r="A107" s="220">
        <v>38626</v>
      </c>
      <c r="B107" s="11">
        <v>403269714</v>
      </c>
      <c r="C107" s="9">
        <v>304384051</v>
      </c>
      <c r="D107" s="10">
        <v>27080886</v>
      </c>
      <c r="E107" s="10">
        <v>7727813</v>
      </c>
      <c r="F107" s="10">
        <v>1792388</v>
      </c>
      <c r="G107" s="10">
        <v>9614171</v>
      </c>
      <c r="H107" s="10">
        <v>6450641</v>
      </c>
      <c r="I107" s="11">
        <v>41860546</v>
      </c>
      <c r="J107" s="221"/>
      <c r="K107" s="175">
        <f t="shared" si="14"/>
        <v>0.75479025682548528</v>
      </c>
      <c r="L107" s="175">
        <f t="shared" si="15"/>
        <v>6.7153284910455732E-2</v>
      </c>
      <c r="M107" s="175">
        <f t="shared" si="16"/>
        <v>1.9162889579156444E-2</v>
      </c>
      <c r="N107" s="175">
        <f t="shared" si="17"/>
        <v>4.4446382601397135E-3</v>
      </c>
      <c r="O107" s="175">
        <f t="shared" si="18"/>
        <v>2.3840548065555946E-2</v>
      </c>
      <c r="P107" s="175">
        <f t="shared" si="19"/>
        <v>1.5995847880607272E-2</v>
      </c>
      <c r="Q107" s="175">
        <f t="shared" si="20"/>
        <v>0.10380285091282605</v>
      </c>
    </row>
    <row r="108" spans="1:17" x14ac:dyDescent="0.3">
      <c r="A108" s="220">
        <v>38657</v>
      </c>
      <c r="B108" s="11">
        <v>391407455</v>
      </c>
      <c r="C108" s="9">
        <v>295037658</v>
      </c>
      <c r="D108" s="10">
        <v>26734467</v>
      </c>
      <c r="E108" s="10">
        <v>7309562</v>
      </c>
      <c r="F108" s="10">
        <v>2006754</v>
      </c>
      <c r="G108" s="10">
        <v>10273709</v>
      </c>
      <c r="H108" s="10">
        <v>5977659</v>
      </c>
      <c r="I108" s="11">
        <v>40635341</v>
      </c>
      <c r="J108" s="221"/>
      <c r="K108" s="175">
        <f t="shared" si="14"/>
        <v>0.75378650618701171</v>
      </c>
      <c r="L108" s="175">
        <f t="shared" si="15"/>
        <v>6.8303417981652903E-2</v>
      </c>
      <c r="M108" s="175">
        <f t="shared" si="16"/>
        <v>1.8675070969202668E-2</v>
      </c>
      <c r="N108" s="175">
        <f t="shared" si="17"/>
        <v>5.1270203834007195E-3</v>
      </c>
      <c r="O108" s="175">
        <f t="shared" si="18"/>
        <v>2.624811783413783E-2</v>
      </c>
      <c r="P108" s="175">
        <f t="shared" si="19"/>
        <v>1.5272215497275084E-2</v>
      </c>
      <c r="Q108" s="175">
        <f t="shared" si="20"/>
        <v>0.10381851566930425</v>
      </c>
    </row>
    <row r="109" spans="1:17" x14ac:dyDescent="0.3">
      <c r="A109" s="220">
        <v>38687</v>
      </c>
      <c r="B109" s="11">
        <v>499399824</v>
      </c>
      <c r="C109" s="9">
        <v>385489551</v>
      </c>
      <c r="D109" s="10">
        <v>30565948</v>
      </c>
      <c r="E109" s="10">
        <v>9007226</v>
      </c>
      <c r="F109" s="10">
        <v>1900688</v>
      </c>
      <c r="G109" s="10">
        <v>11370332</v>
      </c>
      <c r="H109" s="10">
        <v>7404676</v>
      </c>
      <c r="I109" s="11">
        <v>48661314</v>
      </c>
      <c r="J109" s="221"/>
      <c r="K109" s="175">
        <f t="shared" si="14"/>
        <v>0.7719056605033966</v>
      </c>
      <c r="L109" s="175">
        <f t="shared" si="15"/>
        <v>6.1205363981065401E-2</v>
      </c>
      <c r="M109" s="175">
        <f t="shared" si="16"/>
        <v>1.8036101670712644E-2</v>
      </c>
      <c r="N109" s="175">
        <f t="shared" si="17"/>
        <v>3.8059444730601266E-3</v>
      </c>
      <c r="O109" s="175">
        <f t="shared" si="18"/>
        <v>2.2767993606661742E-2</v>
      </c>
      <c r="P109" s="175">
        <f t="shared" si="19"/>
        <v>1.4827149798915428E-2</v>
      </c>
      <c r="Q109" s="175">
        <f t="shared" si="20"/>
        <v>9.7439589806503413E-2</v>
      </c>
    </row>
    <row r="110" spans="1:17" x14ac:dyDescent="0.3">
      <c r="A110" s="220">
        <v>38718</v>
      </c>
      <c r="B110" s="11">
        <v>387515345</v>
      </c>
      <c r="C110" s="9">
        <v>286693640</v>
      </c>
      <c r="D110" s="10">
        <v>27058343</v>
      </c>
      <c r="E110" s="10">
        <v>9171521</v>
      </c>
      <c r="F110" s="10">
        <v>1795038</v>
      </c>
      <c r="G110" s="10">
        <v>8966160</v>
      </c>
      <c r="H110" s="10">
        <v>6974626</v>
      </c>
      <c r="I110" s="11">
        <v>40990119</v>
      </c>
      <c r="J110" s="221"/>
      <c r="K110" s="175">
        <f t="shared" si="14"/>
        <v>0.73982525775850239</v>
      </c>
      <c r="L110" s="175">
        <f t="shared" si="15"/>
        <v>6.9825216856896341E-2</v>
      </c>
      <c r="M110" s="175">
        <f t="shared" si="16"/>
        <v>2.3667504057161916E-2</v>
      </c>
      <c r="N110" s="175">
        <f t="shared" si="17"/>
        <v>4.6321726949935362E-3</v>
      </c>
      <c r="O110" s="175">
        <f t="shared" si="18"/>
        <v>2.3137561171932431E-2</v>
      </c>
      <c r="P110" s="175">
        <f t="shared" si="19"/>
        <v>1.7998322105154313E-2</v>
      </c>
      <c r="Q110" s="175">
        <f t="shared" si="20"/>
        <v>0.10577676349822998</v>
      </c>
    </row>
    <row r="111" spans="1:17" x14ac:dyDescent="0.3">
      <c r="A111" s="220">
        <v>38749</v>
      </c>
      <c r="B111" s="11">
        <v>383544600</v>
      </c>
      <c r="C111" s="9">
        <v>282006200</v>
      </c>
      <c r="D111" s="10">
        <v>24753100</v>
      </c>
      <c r="E111" s="10">
        <v>8331100</v>
      </c>
      <c r="F111" s="10">
        <v>1876450</v>
      </c>
      <c r="G111" s="10">
        <v>10209500</v>
      </c>
      <c r="H111" s="10">
        <v>5830200</v>
      </c>
      <c r="I111" s="11">
        <v>45062900</v>
      </c>
      <c r="J111" s="221"/>
      <c r="K111" s="175">
        <f t="shared" si="14"/>
        <v>0.73526312194201149</v>
      </c>
      <c r="L111" s="175">
        <f t="shared" si="15"/>
        <v>6.4537735637524296E-2</v>
      </c>
      <c r="M111" s="175">
        <f t="shared" si="16"/>
        <v>2.1721333060092621E-2</v>
      </c>
      <c r="N111" s="175">
        <f t="shared" si="17"/>
        <v>4.8923906111570858E-3</v>
      </c>
      <c r="O111" s="175">
        <f t="shared" si="18"/>
        <v>2.6618807825739169E-2</v>
      </c>
      <c r="P111" s="175">
        <f t="shared" si="19"/>
        <v>1.5200839745886137E-2</v>
      </c>
      <c r="Q111" s="175">
        <f t="shared" si="20"/>
        <v>0.1174906386375926</v>
      </c>
    </row>
    <row r="112" spans="1:17" x14ac:dyDescent="0.3">
      <c r="A112" s="220">
        <v>38777</v>
      </c>
      <c r="B112" s="11">
        <v>456188496</v>
      </c>
      <c r="C112" s="9">
        <v>311171173</v>
      </c>
      <c r="D112" s="10">
        <v>38916013</v>
      </c>
      <c r="E112" s="10">
        <v>9579988</v>
      </c>
      <c r="F112" s="10">
        <v>2068283</v>
      </c>
      <c r="G112" s="10">
        <v>12683151</v>
      </c>
      <c r="H112" s="10">
        <v>7500714</v>
      </c>
      <c r="I112" s="11">
        <v>68057596</v>
      </c>
      <c r="J112" s="221"/>
      <c r="K112" s="175">
        <f t="shared" si="14"/>
        <v>0.68211096011504857</v>
      </c>
      <c r="L112" s="175">
        <f t="shared" si="15"/>
        <v>8.5306870605522681E-2</v>
      </c>
      <c r="M112" s="175">
        <f t="shared" si="16"/>
        <v>2.1000064850385882E-2</v>
      </c>
      <c r="N112" s="175">
        <f t="shared" si="17"/>
        <v>4.5338341894531247E-3</v>
      </c>
      <c r="O112" s="175">
        <f t="shared" si="18"/>
        <v>2.7802434982928635E-2</v>
      </c>
      <c r="P112" s="175">
        <f t="shared" si="19"/>
        <v>1.6442137550088505E-2</v>
      </c>
      <c r="Q112" s="175">
        <f t="shared" si="20"/>
        <v>0.14918744465664913</v>
      </c>
    </row>
    <row r="113" spans="1:17" x14ac:dyDescent="0.3">
      <c r="A113" s="220">
        <v>38808</v>
      </c>
      <c r="B113" s="11">
        <v>401069638</v>
      </c>
      <c r="C113" s="9">
        <v>282733961</v>
      </c>
      <c r="D113" s="10">
        <v>29519614</v>
      </c>
      <c r="E113" s="10">
        <v>8741972</v>
      </c>
      <c r="F113" s="10">
        <v>1952323</v>
      </c>
      <c r="G113" s="10">
        <v>10005024</v>
      </c>
      <c r="H113" s="10">
        <v>6547616</v>
      </c>
      <c r="I113" s="11">
        <v>56082420</v>
      </c>
      <c r="J113" s="221"/>
      <c r="K113" s="175">
        <f t="shared" si="14"/>
        <v>0.70494979976519689</v>
      </c>
      <c r="L113" s="175">
        <f t="shared" si="15"/>
        <v>7.3602215683053029E-2</v>
      </c>
      <c r="M113" s="175">
        <f t="shared" si="16"/>
        <v>2.1796643704054208E-2</v>
      </c>
      <c r="N113" s="175">
        <f t="shared" si="17"/>
        <v>4.8677905655875155E-3</v>
      </c>
      <c r="O113" s="175">
        <f t="shared" si="18"/>
        <v>2.4945852420770877E-2</v>
      </c>
      <c r="P113" s="175">
        <f t="shared" si="19"/>
        <v>1.6325384371279682E-2</v>
      </c>
      <c r="Q113" s="175">
        <f t="shared" si="20"/>
        <v>0.1398321256120614</v>
      </c>
    </row>
    <row r="114" spans="1:17" x14ac:dyDescent="0.3">
      <c r="A114" s="220">
        <v>38838</v>
      </c>
      <c r="B114" s="11">
        <v>413513795</v>
      </c>
      <c r="C114" s="9">
        <v>284845291</v>
      </c>
      <c r="D114" s="10">
        <v>29418351</v>
      </c>
      <c r="E114" s="10">
        <v>9017395</v>
      </c>
      <c r="F114" s="10">
        <v>1932767</v>
      </c>
      <c r="G114" s="10">
        <v>10341694</v>
      </c>
      <c r="H114" s="10">
        <v>7385810</v>
      </c>
      <c r="I114" s="11">
        <v>63808678</v>
      </c>
      <c r="J114" s="221"/>
      <c r="K114" s="175">
        <f t="shared" si="14"/>
        <v>0.68884108449151016</v>
      </c>
      <c r="L114" s="175">
        <f t="shared" si="15"/>
        <v>7.1142369023021346E-2</v>
      </c>
      <c r="M114" s="175">
        <f t="shared" si="16"/>
        <v>2.1806757377949144E-2</v>
      </c>
      <c r="N114" s="175">
        <f t="shared" si="17"/>
        <v>4.6740085176602154E-3</v>
      </c>
      <c r="O114" s="175">
        <f t="shared" si="18"/>
        <v>2.5009308335166909E-2</v>
      </c>
      <c r="P114" s="175">
        <f t="shared" si="19"/>
        <v>1.786109699193953E-2</v>
      </c>
      <c r="Q114" s="175">
        <f t="shared" si="20"/>
        <v>0.15430846267172296</v>
      </c>
    </row>
    <row r="115" spans="1:17" x14ac:dyDescent="0.3">
      <c r="A115" s="220">
        <v>38869</v>
      </c>
      <c r="B115" s="11">
        <v>450047750</v>
      </c>
      <c r="C115" s="9">
        <v>312668987</v>
      </c>
      <c r="D115" s="10">
        <v>30840022</v>
      </c>
      <c r="E115" s="10">
        <v>11531190</v>
      </c>
      <c r="F115" s="10">
        <v>2141438</v>
      </c>
      <c r="G115" s="10">
        <v>12954202</v>
      </c>
      <c r="H115" s="10">
        <v>7998925</v>
      </c>
      <c r="I115" s="11">
        <v>64929151</v>
      </c>
      <c r="J115" s="221"/>
      <c r="K115" s="175">
        <f t="shared" si="14"/>
        <v>0.69474625081449692</v>
      </c>
      <c r="L115" s="175">
        <f t="shared" si="15"/>
        <v>6.8526110840460813E-2</v>
      </c>
      <c r="M115" s="175">
        <f t="shared" si="16"/>
        <v>2.5622147872086908E-2</v>
      </c>
      <c r="N115" s="175">
        <f t="shared" si="17"/>
        <v>4.758246208319006E-3</v>
      </c>
      <c r="O115" s="175">
        <f t="shared" si="18"/>
        <v>2.8784061246834365E-2</v>
      </c>
      <c r="P115" s="175">
        <f t="shared" si="19"/>
        <v>1.7773502922745418E-2</v>
      </c>
      <c r="Q115" s="175">
        <f t="shared" si="20"/>
        <v>0.14427169339253446</v>
      </c>
    </row>
    <row r="116" spans="1:17" x14ac:dyDescent="0.3">
      <c r="A116" s="220">
        <v>38899</v>
      </c>
      <c r="B116" s="11">
        <v>390682717</v>
      </c>
      <c r="C116" s="9">
        <v>269583862</v>
      </c>
      <c r="D116" s="10">
        <v>30297643</v>
      </c>
      <c r="E116" s="10">
        <v>6969421</v>
      </c>
      <c r="F116" s="10">
        <v>1646047</v>
      </c>
      <c r="G116" s="10">
        <v>10146693</v>
      </c>
      <c r="H116" s="10">
        <v>6547022</v>
      </c>
      <c r="I116" s="11">
        <v>59030759</v>
      </c>
      <c r="J116" s="221"/>
      <c r="K116" s="175">
        <f t="shared" si="14"/>
        <v>0.69003273057507686</v>
      </c>
      <c r="L116" s="175">
        <f t="shared" si="15"/>
        <v>7.755050756442855E-2</v>
      </c>
      <c r="M116" s="175">
        <f t="shared" si="16"/>
        <v>1.7839081937172051E-2</v>
      </c>
      <c r="N116" s="175">
        <f t="shared" si="17"/>
        <v>4.2132577879046545E-3</v>
      </c>
      <c r="O116" s="175">
        <f t="shared" si="18"/>
        <v>2.5971696618460858E-2</v>
      </c>
      <c r="P116" s="175">
        <f t="shared" si="19"/>
        <v>1.6757900247734787E-2</v>
      </c>
      <c r="Q116" s="175">
        <f t="shared" si="20"/>
        <v>0.15109641771023108</v>
      </c>
    </row>
    <row r="117" spans="1:17" x14ac:dyDescent="0.3">
      <c r="A117" s="220">
        <v>38930</v>
      </c>
      <c r="B117" s="11">
        <v>412924111</v>
      </c>
      <c r="C117" s="9">
        <v>285719508</v>
      </c>
      <c r="D117" s="10">
        <v>35024032</v>
      </c>
      <c r="E117" s="10">
        <v>8782119</v>
      </c>
      <c r="F117" s="10">
        <v>2031666</v>
      </c>
      <c r="G117" s="10">
        <v>10872114</v>
      </c>
      <c r="H117" s="10">
        <v>7319389</v>
      </c>
      <c r="I117" s="11">
        <v>57474697</v>
      </c>
      <c r="J117" s="221"/>
      <c r="K117" s="175">
        <f t="shared" si="14"/>
        <v>0.6919419340954881</v>
      </c>
      <c r="L117" s="175">
        <f t="shared" si="15"/>
        <v>8.4819537215156712E-2</v>
      </c>
      <c r="M117" s="175">
        <f t="shared" si="16"/>
        <v>2.1268118683435273E-2</v>
      </c>
      <c r="N117" s="175">
        <f t="shared" si="17"/>
        <v>4.9201922238926851E-3</v>
      </c>
      <c r="O117" s="175">
        <f t="shared" si="18"/>
        <v>2.6329569309165385E-2</v>
      </c>
      <c r="P117" s="175">
        <f t="shared" si="19"/>
        <v>1.7725748642466656E-2</v>
      </c>
      <c r="Q117" s="175">
        <f t="shared" si="20"/>
        <v>0.13918949140753856</v>
      </c>
    </row>
    <row r="118" spans="1:17" x14ac:dyDescent="0.3">
      <c r="A118" s="220">
        <v>38961</v>
      </c>
      <c r="B118" s="11">
        <v>421569383</v>
      </c>
      <c r="C118" s="9">
        <v>295219912</v>
      </c>
      <c r="D118" s="10">
        <v>33468794</v>
      </c>
      <c r="E118" s="10">
        <v>10162614</v>
      </c>
      <c r="F118" s="10">
        <v>2429046</v>
      </c>
      <c r="G118" s="10">
        <v>11335714</v>
      </c>
      <c r="H118" s="10">
        <v>7280883</v>
      </c>
      <c r="I118" s="11">
        <v>55375195</v>
      </c>
      <c r="J118" s="221"/>
      <c r="K118" s="175">
        <f t="shared" si="14"/>
        <v>0.70028783850273113</v>
      </c>
      <c r="L118" s="175">
        <f t="shared" si="15"/>
        <v>7.9390950457139814E-2</v>
      </c>
      <c r="M118" s="175">
        <f t="shared" si="16"/>
        <v>2.4106622562768038E-2</v>
      </c>
      <c r="N118" s="175">
        <f t="shared" si="17"/>
        <v>5.7619127430798269E-3</v>
      </c>
      <c r="O118" s="175">
        <f t="shared" si="18"/>
        <v>2.6889319901108662E-2</v>
      </c>
      <c r="P118" s="175">
        <f t="shared" si="19"/>
        <v>1.7270900813971115E-2</v>
      </c>
      <c r="Q118" s="175">
        <f t="shared" si="20"/>
        <v>0.13135487830244066</v>
      </c>
    </row>
    <row r="119" spans="1:17" x14ac:dyDescent="0.3">
      <c r="A119" s="220">
        <v>38991</v>
      </c>
      <c r="B119" s="11">
        <v>399262069</v>
      </c>
      <c r="C119" s="9">
        <v>280196111</v>
      </c>
      <c r="D119" s="10">
        <v>31247660</v>
      </c>
      <c r="E119" s="10">
        <v>9385626</v>
      </c>
      <c r="F119" s="10">
        <v>1613049</v>
      </c>
      <c r="G119" s="10">
        <v>10036327</v>
      </c>
      <c r="H119" s="10">
        <v>9046956</v>
      </c>
      <c r="I119" s="11">
        <v>51353978</v>
      </c>
      <c r="J119" s="221"/>
      <c r="K119" s="175">
        <f t="shared" si="14"/>
        <v>0.70178494967424521</v>
      </c>
      <c r="L119" s="175">
        <f t="shared" si="15"/>
        <v>7.8263532717404216E-2</v>
      </c>
      <c r="M119" s="175">
        <f t="shared" si="16"/>
        <v>2.3507432157298169E-2</v>
      </c>
      <c r="N119" s="175">
        <f t="shared" si="17"/>
        <v>4.0400757428324602E-3</v>
      </c>
      <c r="O119" s="175">
        <f t="shared" si="18"/>
        <v>2.5137191281749332E-2</v>
      </c>
      <c r="P119" s="175">
        <f t="shared" si="19"/>
        <v>2.2659192301084829E-2</v>
      </c>
      <c r="Q119" s="175">
        <f t="shared" si="20"/>
        <v>0.12862223082854385</v>
      </c>
    </row>
    <row r="120" spans="1:17" x14ac:dyDescent="0.3">
      <c r="A120" s="220">
        <v>39022</v>
      </c>
      <c r="B120" s="11">
        <v>392646247</v>
      </c>
      <c r="C120" s="9">
        <v>288273869</v>
      </c>
      <c r="D120" s="10">
        <v>26975453</v>
      </c>
      <c r="E120" s="10">
        <v>9211486</v>
      </c>
      <c r="F120" s="10">
        <v>1812330</v>
      </c>
      <c r="G120" s="10">
        <v>9784170</v>
      </c>
      <c r="H120" s="10">
        <v>6912695</v>
      </c>
      <c r="I120" s="11">
        <v>43504649</v>
      </c>
      <c r="J120" s="221"/>
      <c r="K120" s="175">
        <f t="shared" si="14"/>
        <v>0.73418215811954524</v>
      </c>
      <c r="L120" s="175">
        <f t="shared" si="15"/>
        <v>6.8701670284906605E-2</v>
      </c>
      <c r="M120" s="175">
        <f t="shared" si="16"/>
        <v>2.3460012849683496E-2</v>
      </c>
      <c r="N120" s="175">
        <f t="shared" si="17"/>
        <v>4.6156814533362903E-3</v>
      </c>
      <c r="O120" s="175">
        <f t="shared" si="18"/>
        <v>2.4918536913966734E-2</v>
      </c>
      <c r="P120" s="175">
        <f t="shared" si="19"/>
        <v>1.7605401943393592E-2</v>
      </c>
      <c r="Q120" s="175">
        <f t="shared" si="20"/>
        <v>0.11079858608708414</v>
      </c>
    </row>
    <row r="121" spans="1:17" x14ac:dyDescent="0.3">
      <c r="A121" s="220">
        <v>39052</v>
      </c>
      <c r="B121" s="11">
        <v>492068020</v>
      </c>
      <c r="C121" s="9">
        <v>376034997</v>
      </c>
      <c r="D121" s="10">
        <v>32195798</v>
      </c>
      <c r="E121" s="10">
        <v>9277319</v>
      </c>
      <c r="F121" s="10">
        <v>1953379</v>
      </c>
      <c r="G121" s="10">
        <v>12188647</v>
      </c>
      <c r="H121" s="10">
        <v>7625957</v>
      </c>
      <c r="I121" s="11">
        <v>45184888</v>
      </c>
      <c r="J121" s="221"/>
      <c r="K121" s="175">
        <f t="shared" si="14"/>
        <v>0.76419312313773202</v>
      </c>
      <c r="L121" s="175">
        <f t="shared" si="15"/>
        <v>6.5429568050368314E-2</v>
      </c>
      <c r="M121" s="175">
        <f t="shared" si="16"/>
        <v>1.8853732864005265E-2</v>
      </c>
      <c r="N121" s="175">
        <f t="shared" si="17"/>
        <v>3.9697336965730879E-3</v>
      </c>
      <c r="O121" s="175">
        <f t="shared" si="18"/>
        <v>2.4770248227064216E-2</v>
      </c>
      <c r="P121" s="175">
        <f t="shared" si="19"/>
        <v>1.5497770003423511E-2</v>
      </c>
      <c r="Q121" s="175">
        <f t="shared" si="20"/>
        <v>9.1826508050655273E-2</v>
      </c>
    </row>
    <row r="122" spans="1:17" x14ac:dyDescent="0.3">
      <c r="A122" s="220">
        <v>39083</v>
      </c>
      <c r="B122" s="11">
        <v>386398401</v>
      </c>
      <c r="C122" s="9">
        <v>279749361</v>
      </c>
      <c r="D122" s="10">
        <v>27103105</v>
      </c>
      <c r="E122" s="10">
        <v>7753008</v>
      </c>
      <c r="F122" s="10">
        <v>1698420</v>
      </c>
      <c r="G122" s="10">
        <v>9878032</v>
      </c>
      <c r="H122" s="10">
        <v>8430859</v>
      </c>
      <c r="I122" s="11">
        <v>45432737</v>
      </c>
      <c r="J122" s="221"/>
      <c r="K122" s="175">
        <f t="shared" ref="K122:K153" si="21">C122/$B122</f>
        <v>0.72399202552600628</v>
      </c>
      <c r="L122" s="175">
        <f t="shared" ref="L122:L153" si="22">D122/$B122</f>
        <v>7.0142901548911951E-2</v>
      </c>
      <c r="M122" s="175">
        <f t="shared" ref="M122:M153" si="23">E122/$B122</f>
        <v>2.006480352903945E-2</v>
      </c>
      <c r="N122" s="175">
        <f t="shared" ref="N122:N153" si="24">F122/$B122</f>
        <v>4.395515083924998E-3</v>
      </c>
      <c r="O122" s="175">
        <f t="shared" ref="O122:O153" si="25">G122/$B122</f>
        <v>2.5564370800799457E-2</v>
      </c>
      <c r="P122" s="175">
        <f t="shared" ref="P122:P153" si="26">H122/$B122</f>
        <v>2.1819083562926028E-2</v>
      </c>
      <c r="Q122" s="175">
        <f t="shared" ref="Q122:Q153" si="27">I122/$B122</f>
        <v>0.11758003367099855</v>
      </c>
    </row>
    <row r="123" spans="1:17" x14ac:dyDescent="0.3">
      <c r="A123" s="220">
        <v>39114</v>
      </c>
      <c r="B123" s="11">
        <v>376645010</v>
      </c>
      <c r="C123" s="9">
        <v>271230235</v>
      </c>
      <c r="D123" s="10">
        <v>26559874</v>
      </c>
      <c r="E123" s="10">
        <v>8598000</v>
      </c>
      <c r="F123" s="10">
        <v>1777595</v>
      </c>
      <c r="G123" s="10">
        <v>11874778</v>
      </c>
      <c r="H123" s="10">
        <v>6249522</v>
      </c>
      <c r="I123" s="11">
        <v>41838389</v>
      </c>
      <c r="J123" s="221"/>
      <c r="K123" s="175">
        <f t="shared" si="21"/>
        <v>0.72012167372136426</v>
      </c>
      <c r="L123" s="175">
        <f t="shared" si="22"/>
        <v>7.0516994238155439E-2</v>
      </c>
      <c r="M123" s="175">
        <f t="shared" si="23"/>
        <v>2.2827861173575617E-2</v>
      </c>
      <c r="N123" s="175">
        <f t="shared" si="24"/>
        <v>4.7195501143105544E-3</v>
      </c>
      <c r="O123" s="175">
        <f t="shared" si="25"/>
        <v>3.1527771999421951E-2</v>
      </c>
      <c r="P123" s="175">
        <f t="shared" si="26"/>
        <v>1.6592605328821428E-2</v>
      </c>
      <c r="Q123" s="175">
        <f t="shared" si="27"/>
        <v>0.1110817557359913</v>
      </c>
    </row>
    <row r="124" spans="1:17" x14ac:dyDescent="0.3">
      <c r="A124" s="220">
        <v>39142</v>
      </c>
      <c r="B124" s="11">
        <v>471325664</v>
      </c>
      <c r="C124" s="9">
        <v>331416922</v>
      </c>
      <c r="D124" s="10">
        <v>40295807</v>
      </c>
      <c r="E124" s="10">
        <v>11066003</v>
      </c>
      <c r="F124" s="10">
        <v>2005204</v>
      </c>
      <c r="G124" s="10">
        <v>13049727</v>
      </c>
      <c r="H124" s="10">
        <v>7981630</v>
      </c>
      <c r="I124" s="11">
        <v>58532390</v>
      </c>
      <c r="J124" s="221"/>
      <c r="K124" s="175">
        <f t="shared" si="21"/>
        <v>0.70315908365219004</v>
      </c>
      <c r="L124" s="175">
        <f t="shared" si="22"/>
        <v>8.5494616732773546E-2</v>
      </c>
      <c r="M124" s="175">
        <f t="shared" si="23"/>
        <v>2.3478464775472104E-2</v>
      </c>
      <c r="N124" s="175">
        <f t="shared" si="24"/>
        <v>4.2543917150244552E-3</v>
      </c>
      <c r="O124" s="175">
        <f t="shared" si="25"/>
        <v>2.7687282905944202E-2</v>
      </c>
      <c r="P124" s="175">
        <f t="shared" si="26"/>
        <v>1.6934426893418644E-2</v>
      </c>
      <c r="Q124" s="175">
        <f t="shared" si="27"/>
        <v>0.12418672368326628</v>
      </c>
    </row>
    <row r="125" spans="1:17" x14ac:dyDescent="0.3">
      <c r="A125" s="220">
        <v>39173</v>
      </c>
      <c r="B125" s="11">
        <v>404527548</v>
      </c>
      <c r="C125" s="9">
        <v>290555994</v>
      </c>
      <c r="D125" s="10">
        <v>30812241</v>
      </c>
      <c r="E125" s="10">
        <v>8590981</v>
      </c>
      <c r="F125" s="10">
        <v>2146428</v>
      </c>
      <c r="G125" s="10">
        <v>12225165</v>
      </c>
      <c r="H125" s="10">
        <v>7542612</v>
      </c>
      <c r="I125" s="11">
        <v>46861940</v>
      </c>
      <c r="J125" s="221"/>
      <c r="K125" s="175">
        <f t="shared" si="21"/>
        <v>0.71826009238807142</v>
      </c>
      <c r="L125" s="175">
        <f t="shared" si="22"/>
        <v>7.6168461585216937E-2</v>
      </c>
      <c r="M125" s="175">
        <f t="shared" si="23"/>
        <v>2.1237072833418011E-2</v>
      </c>
      <c r="N125" s="175">
        <f t="shared" si="24"/>
        <v>5.3060119406256106E-3</v>
      </c>
      <c r="O125" s="175">
        <f t="shared" si="25"/>
        <v>3.0220846665305473E-2</v>
      </c>
      <c r="P125" s="175">
        <f t="shared" si="26"/>
        <v>1.8645484188384617E-2</v>
      </c>
      <c r="Q125" s="175">
        <f t="shared" si="27"/>
        <v>0.11584363100037874</v>
      </c>
    </row>
    <row r="126" spans="1:17" x14ac:dyDescent="0.3">
      <c r="A126" s="220">
        <v>39203</v>
      </c>
      <c r="B126" s="11">
        <v>438058700</v>
      </c>
      <c r="C126" s="9">
        <v>303800900</v>
      </c>
      <c r="D126" s="10">
        <v>34714400</v>
      </c>
      <c r="E126" s="10">
        <v>9566000</v>
      </c>
      <c r="F126" s="10">
        <v>2005450</v>
      </c>
      <c r="G126" s="10">
        <v>11816600</v>
      </c>
      <c r="H126" s="10">
        <v>10091840</v>
      </c>
      <c r="I126" s="11">
        <v>59206100</v>
      </c>
      <c r="J126" s="221"/>
      <c r="K126" s="175">
        <f t="shared" si="21"/>
        <v>0.6935164168637673</v>
      </c>
      <c r="L126" s="175">
        <f t="shared" si="22"/>
        <v>7.92460005930712E-2</v>
      </c>
      <c r="M126" s="175">
        <f t="shared" si="23"/>
        <v>2.1837256057236167E-2</v>
      </c>
      <c r="N126" s="175">
        <f t="shared" si="24"/>
        <v>4.5780394271361354E-3</v>
      </c>
      <c r="O126" s="175">
        <f t="shared" si="25"/>
        <v>2.6974923680319556E-2</v>
      </c>
      <c r="P126" s="175">
        <f t="shared" si="26"/>
        <v>2.3037643128649195E-2</v>
      </c>
      <c r="Q126" s="175">
        <f t="shared" si="27"/>
        <v>0.13515563096909158</v>
      </c>
    </row>
    <row r="127" spans="1:17" x14ac:dyDescent="0.3">
      <c r="A127" s="220">
        <v>39234</v>
      </c>
      <c r="B127" s="11">
        <v>475050660</v>
      </c>
      <c r="C127" s="9">
        <v>328507533</v>
      </c>
      <c r="D127" s="10">
        <v>35961260</v>
      </c>
      <c r="E127" s="10">
        <v>10510293</v>
      </c>
      <c r="F127" s="10">
        <v>2588698</v>
      </c>
      <c r="G127" s="10">
        <v>13623524</v>
      </c>
      <c r="H127" s="10">
        <v>10384802</v>
      </c>
      <c r="I127" s="11">
        <v>67005304</v>
      </c>
      <c r="J127" s="221"/>
      <c r="K127" s="175">
        <f t="shared" si="21"/>
        <v>0.69152105377561202</v>
      </c>
      <c r="L127" s="175">
        <f t="shared" si="22"/>
        <v>7.5699842202092721E-2</v>
      </c>
      <c r="M127" s="175">
        <f t="shared" si="23"/>
        <v>2.2124572987647254E-2</v>
      </c>
      <c r="N127" s="175">
        <f t="shared" si="24"/>
        <v>5.4493093431340562E-3</v>
      </c>
      <c r="O127" s="175">
        <f t="shared" si="25"/>
        <v>2.8678044568972917E-2</v>
      </c>
      <c r="P127" s="175">
        <f t="shared" si="26"/>
        <v>2.1860409582422219E-2</v>
      </c>
      <c r="Q127" s="175">
        <f t="shared" si="27"/>
        <v>0.14104875467386993</v>
      </c>
    </row>
    <row r="128" spans="1:17" x14ac:dyDescent="0.3">
      <c r="A128" s="220">
        <v>39264</v>
      </c>
      <c r="B128" s="11">
        <v>422892002</v>
      </c>
      <c r="C128" s="9">
        <v>291893761</v>
      </c>
      <c r="D128" s="10">
        <v>37501562</v>
      </c>
      <c r="E128" s="10">
        <v>9265055</v>
      </c>
      <c r="F128" s="10">
        <v>1861164</v>
      </c>
      <c r="G128" s="10">
        <v>11190467</v>
      </c>
      <c r="H128" s="10">
        <v>7513442</v>
      </c>
      <c r="I128" s="11">
        <v>52534265</v>
      </c>
      <c r="J128" s="221"/>
      <c r="K128" s="175">
        <f t="shared" si="21"/>
        <v>0.69023239886196763</v>
      </c>
      <c r="L128" s="175">
        <f t="shared" si="22"/>
        <v>8.867881592142289E-2</v>
      </c>
      <c r="M128" s="175">
        <f t="shared" si="23"/>
        <v>2.1908796941494297E-2</v>
      </c>
      <c r="N128" s="175">
        <f t="shared" si="24"/>
        <v>4.4010385422233638E-3</v>
      </c>
      <c r="O128" s="175">
        <f t="shared" si="25"/>
        <v>2.6461760797263791E-2</v>
      </c>
      <c r="P128" s="175">
        <f t="shared" si="26"/>
        <v>1.7766810354573694E-2</v>
      </c>
      <c r="Q128" s="175">
        <f t="shared" si="27"/>
        <v>0.12422619664488239</v>
      </c>
    </row>
    <row r="129" spans="1:17" x14ac:dyDescent="0.3">
      <c r="A129" s="220">
        <v>39295</v>
      </c>
      <c r="B129" s="11">
        <v>443527100</v>
      </c>
      <c r="C129" s="9">
        <v>306918500</v>
      </c>
      <c r="D129" s="10">
        <v>33813400</v>
      </c>
      <c r="E129" s="10">
        <v>8826800</v>
      </c>
      <c r="F129" s="10">
        <v>2062300</v>
      </c>
      <c r="G129" s="10">
        <v>11412500</v>
      </c>
      <c r="H129" s="10">
        <v>9199040</v>
      </c>
      <c r="I129" s="11">
        <v>61106400</v>
      </c>
      <c r="J129" s="221"/>
      <c r="K129" s="175">
        <f t="shared" si="21"/>
        <v>0.69199491981436989</v>
      </c>
      <c r="L129" s="175">
        <f t="shared" si="22"/>
        <v>7.6237506118566375E-2</v>
      </c>
      <c r="M129" s="175">
        <f t="shared" si="23"/>
        <v>1.990137693953763E-2</v>
      </c>
      <c r="N129" s="175">
        <f t="shared" si="24"/>
        <v>4.6497722461603811E-3</v>
      </c>
      <c r="O129" s="175">
        <f t="shared" si="25"/>
        <v>2.5731234912139529E-2</v>
      </c>
      <c r="P129" s="175">
        <f t="shared" si="26"/>
        <v>2.0740649218503222E-2</v>
      </c>
      <c r="Q129" s="175">
        <f t="shared" si="27"/>
        <v>0.13777376850253345</v>
      </c>
    </row>
    <row r="130" spans="1:17" x14ac:dyDescent="0.3">
      <c r="A130" s="220">
        <v>39326</v>
      </c>
      <c r="B130" s="11">
        <v>437825092</v>
      </c>
      <c r="C130" s="9">
        <v>303999455</v>
      </c>
      <c r="D130" s="10">
        <v>32746561</v>
      </c>
      <c r="E130" s="10">
        <v>9831029</v>
      </c>
      <c r="F130" s="10">
        <v>1953057</v>
      </c>
      <c r="G130" s="10">
        <v>11439914</v>
      </c>
      <c r="H130" s="10">
        <v>10730373</v>
      </c>
      <c r="I130" s="11">
        <v>59909512</v>
      </c>
      <c r="J130" s="221"/>
      <c r="K130" s="175">
        <f t="shared" si="21"/>
        <v>0.69433995573739293</v>
      </c>
      <c r="L130" s="175">
        <f t="shared" si="22"/>
        <v>7.4793705519280745E-2</v>
      </c>
      <c r="M130" s="175">
        <f t="shared" si="23"/>
        <v>2.2454238415371589E-2</v>
      </c>
      <c r="N130" s="175">
        <f t="shared" si="24"/>
        <v>4.4608155989378515E-3</v>
      </c>
      <c r="O130" s="175">
        <f t="shared" si="25"/>
        <v>2.6128959278560491E-2</v>
      </c>
      <c r="P130" s="175">
        <f t="shared" si="26"/>
        <v>2.4508355496445599E-2</v>
      </c>
      <c r="Q130" s="175">
        <f t="shared" si="27"/>
        <v>0.13683435027976878</v>
      </c>
    </row>
    <row r="131" spans="1:17" x14ac:dyDescent="0.3">
      <c r="A131" s="220">
        <v>39356</v>
      </c>
      <c r="B131" s="11">
        <v>446735111</v>
      </c>
      <c r="C131" s="9">
        <v>309185352</v>
      </c>
      <c r="D131" s="10">
        <v>41210587</v>
      </c>
      <c r="E131" s="10">
        <v>9549962</v>
      </c>
      <c r="F131" s="10">
        <v>1830989</v>
      </c>
      <c r="G131" s="10">
        <v>12372739</v>
      </c>
      <c r="H131" s="10">
        <v>8924561</v>
      </c>
      <c r="I131" s="11">
        <v>57057041</v>
      </c>
      <c r="J131" s="221"/>
      <c r="K131" s="175">
        <f t="shared" si="21"/>
        <v>0.69209995898441934</v>
      </c>
      <c r="L131" s="175">
        <f t="shared" si="22"/>
        <v>9.2248372660370545E-2</v>
      </c>
      <c r="M131" s="175">
        <f t="shared" si="23"/>
        <v>2.1377236229815837E-2</v>
      </c>
      <c r="N131" s="175">
        <f t="shared" si="24"/>
        <v>4.0986010611554552E-3</v>
      </c>
      <c r="O131" s="175">
        <f t="shared" si="25"/>
        <v>2.7695917995574786E-2</v>
      </c>
      <c r="P131" s="175">
        <f t="shared" si="26"/>
        <v>1.9977299254635931E-2</v>
      </c>
      <c r="Q131" s="175">
        <f t="shared" si="27"/>
        <v>0.1277200730255563</v>
      </c>
    </row>
    <row r="132" spans="1:17" x14ac:dyDescent="0.3">
      <c r="A132" s="220">
        <v>39387</v>
      </c>
      <c r="B132" s="11">
        <v>433401204</v>
      </c>
      <c r="C132" s="9">
        <v>308669548</v>
      </c>
      <c r="D132" s="10">
        <v>35762304</v>
      </c>
      <c r="E132" s="10">
        <v>9221169</v>
      </c>
      <c r="F132" s="10">
        <v>4902632</v>
      </c>
      <c r="G132" s="10">
        <v>10256950</v>
      </c>
      <c r="H132" s="10">
        <v>8214360</v>
      </c>
      <c r="I132" s="11">
        <v>52661933</v>
      </c>
      <c r="J132" s="221"/>
      <c r="K132" s="175">
        <f t="shared" si="21"/>
        <v>0.71220279304992429</v>
      </c>
      <c r="L132" s="175">
        <f t="shared" si="22"/>
        <v>8.2515469892418661E-2</v>
      </c>
      <c r="M132" s="175">
        <f t="shared" si="23"/>
        <v>2.1276288378746636E-2</v>
      </c>
      <c r="N132" s="175">
        <f t="shared" si="24"/>
        <v>1.1311994417071347E-2</v>
      </c>
      <c r="O132" s="175">
        <f t="shared" si="25"/>
        <v>2.3666177909371935E-2</v>
      </c>
      <c r="P132" s="175">
        <f t="shared" si="26"/>
        <v>1.895324683961884E-2</v>
      </c>
      <c r="Q132" s="175">
        <f t="shared" si="27"/>
        <v>0.12150850646921599</v>
      </c>
    </row>
    <row r="133" spans="1:17" x14ac:dyDescent="0.3">
      <c r="A133" s="220">
        <v>39417</v>
      </c>
      <c r="B133" s="11">
        <v>532207035</v>
      </c>
      <c r="C133" s="9">
        <v>392503420</v>
      </c>
      <c r="D133" s="10">
        <v>40288496</v>
      </c>
      <c r="E133" s="10">
        <v>9368826</v>
      </c>
      <c r="F133" s="10">
        <v>3576295</v>
      </c>
      <c r="G133" s="10">
        <v>13042931</v>
      </c>
      <c r="H133" s="10">
        <v>10016444</v>
      </c>
      <c r="I133" s="11">
        <v>58139188</v>
      </c>
      <c r="J133" s="221"/>
      <c r="K133" s="175">
        <f t="shared" si="21"/>
        <v>0.73750137481741485</v>
      </c>
      <c r="L133" s="175">
        <f t="shared" si="22"/>
        <v>7.5700795649948527E-2</v>
      </c>
      <c r="M133" s="175">
        <f t="shared" si="23"/>
        <v>1.7603724460350283E-2</v>
      </c>
      <c r="N133" s="175">
        <f t="shared" si="24"/>
        <v>6.7197439432569693E-3</v>
      </c>
      <c r="O133" s="175">
        <f t="shared" si="25"/>
        <v>2.450725026586693E-2</v>
      </c>
      <c r="P133" s="175">
        <f t="shared" si="26"/>
        <v>1.8820577973006312E-2</v>
      </c>
      <c r="Q133" s="175">
        <f t="shared" si="27"/>
        <v>0.10924167509360337</v>
      </c>
    </row>
    <row r="134" spans="1:17" x14ac:dyDescent="0.3">
      <c r="A134" s="220">
        <v>39448</v>
      </c>
      <c r="B134" s="11">
        <v>425407333</v>
      </c>
      <c r="C134" s="9">
        <v>288376676</v>
      </c>
      <c r="D134" s="10">
        <v>41492857</v>
      </c>
      <c r="E134" s="10">
        <v>8800096</v>
      </c>
      <c r="F134" s="10">
        <v>4210239</v>
      </c>
      <c r="G134" s="10">
        <v>11378070</v>
      </c>
      <c r="H134" s="10">
        <v>7993580</v>
      </c>
      <c r="I134" s="11">
        <v>59271292</v>
      </c>
      <c r="J134" s="221"/>
      <c r="K134" s="175">
        <f t="shared" si="21"/>
        <v>0.67788365086786129</v>
      </c>
      <c r="L134" s="175">
        <f t="shared" si="22"/>
        <v>9.7536769541299848E-2</v>
      </c>
      <c r="M134" s="175">
        <f t="shared" si="23"/>
        <v>2.0686281869993058E-2</v>
      </c>
      <c r="N134" s="175">
        <f t="shared" si="24"/>
        <v>9.8969591574952949E-3</v>
      </c>
      <c r="O134" s="175">
        <f t="shared" si="25"/>
        <v>2.6746294944567869E-2</v>
      </c>
      <c r="P134" s="175">
        <f t="shared" si="26"/>
        <v>1.8790414221656119E-2</v>
      </c>
      <c r="Q134" s="175">
        <f t="shared" si="27"/>
        <v>0.13932832699900827</v>
      </c>
    </row>
    <row r="135" spans="1:17" x14ac:dyDescent="0.3">
      <c r="A135" s="220">
        <v>39479</v>
      </c>
      <c r="B135" s="11">
        <v>409218473</v>
      </c>
      <c r="C135" s="9">
        <v>286959058</v>
      </c>
      <c r="D135" s="10">
        <v>32843522</v>
      </c>
      <c r="E135" s="10">
        <v>8192147</v>
      </c>
      <c r="F135" s="10">
        <v>4537200</v>
      </c>
      <c r="G135" s="10">
        <v>11277683</v>
      </c>
      <c r="H135" s="10">
        <v>6393750</v>
      </c>
      <c r="I135" s="11">
        <v>50555718</v>
      </c>
      <c r="J135" s="221"/>
      <c r="K135" s="175">
        <f t="shared" si="21"/>
        <v>0.7012368134221546</v>
      </c>
      <c r="L135" s="175">
        <f t="shared" si="22"/>
        <v>8.0259138252539247E-2</v>
      </c>
      <c r="M135" s="175">
        <f t="shared" si="23"/>
        <v>2.0019005837989136E-2</v>
      </c>
      <c r="N135" s="175">
        <f t="shared" si="24"/>
        <v>1.1087476004535112E-2</v>
      </c>
      <c r="O135" s="175">
        <f t="shared" si="25"/>
        <v>2.755907600486061E-2</v>
      </c>
      <c r="P135" s="175">
        <f t="shared" si="26"/>
        <v>1.5624294653970814E-2</v>
      </c>
      <c r="Q135" s="175">
        <f t="shared" si="27"/>
        <v>0.1235421207390117</v>
      </c>
    </row>
    <row r="136" spans="1:17" x14ac:dyDescent="0.3">
      <c r="A136" s="220">
        <v>39508</v>
      </c>
      <c r="B136" s="11">
        <v>463608735</v>
      </c>
      <c r="C136" s="9">
        <v>328060023</v>
      </c>
      <c r="D136" s="10">
        <v>37449291</v>
      </c>
      <c r="E136" s="10">
        <v>10868289</v>
      </c>
      <c r="F136" s="10">
        <v>4744008</v>
      </c>
      <c r="G136" s="10">
        <v>12566930</v>
      </c>
      <c r="H136" s="10">
        <v>9880055</v>
      </c>
      <c r="I136" s="11">
        <v>56468732</v>
      </c>
      <c r="J136" s="221"/>
      <c r="K136" s="175">
        <f t="shared" si="21"/>
        <v>0.70762260982852276</v>
      </c>
      <c r="L136" s="175">
        <f t="shared" si="22"/>
        <v>8.0777794232026273E-2</v>
      </c>
      <c r="M136" s="175">
        <f t="shared" si="23"/>
        <v>2.3442804631366578E-2</v>
      </c>
      <c r="N136" s="175">
        <f t="shared" si="24"/>
        <v>1.0232783901278306E-2</v>
      </c>
      <c r="O136" s="175">
        <f t="shared" si="25"/>
        <v>2.710675846088189E-2</v>
      </c>
      <c r="P136" s="175">
        <f t="shared" si="26"/>
        <v>2.1311192508053155E-2</v>
      </c>
      <c r="Q136" s="175">
        <f t="shared" si="27"/>
        <v>0.12180256267173223</v>
      </c>
    </row>
    <row r="137" spans="1:17" x14ac:dyDescent="0.3">
      <c r="A137" s="220">
        <v>39539</v>
      </c>
      <c r="B137" s="11">
        <v>452492714</v>
      </c>
      <c r="C137" s="9">
        <v>301249139</v>
      </c>
      <c r="D137" s="10">
        <v>40813376</v>
      </c>
      <c r="E137" s="10">
        <v>9412993</v>
      </c>
      <c r="F137" s="10">
        <v>4031060</v>
      </c>
      <c r="G137" s="10">
        <v>12699323</v>
      </c>
      <c r="H137" s="10">
        <v>8748094</v>
      </c>
      <c r="I137" s="11">
        <v>71572047</v>
      </c>
      <c r="J137" s="221"/>
      <c r="K137" s="175">
        <f t="shared" si="21"/>
        <v>0.66575467334486182</v>
      </c>
      <c r="L137" s="175">
        <f t="shared" si="22"/>
        <v>9.0196758394655616E-2</v>
      </c>
      <c r="M137" s="175">
        <f t="shared" si="23"/>
        <v>2.080252943034128E-2</v>
      </c>
      <c r="N137" s="175">
        <f t="shared" si="24"/>
        <v>8.9085633321379851E-3</v>
      </c>
      <c r="O137" s="175">
        <f t="shared" si="25"/>
        <v>2.8065254107052871E-2</v>
      </c>
      <c r="P137" s="175">
        <f t="shared" si="26"/>
        <v>1.9333115715096355E-2</v>
      </c>
      <c r="Q137" s="175">
        <f t="shared" si="27"/>
        <v>0.15817281645776954</v>
      </c>
    </row>
    <row r="138" spans="1:17" x14ac:dyDescent="0.3">
      <c r="A138" s="220">
        <v>39569</v>
      </c>
      <c r="B138" s="11">
        <v>434402743</v>
      </c>
      <c r="C138" s="9">
        <v>305560446</v>
      </c>
      <c r="D138" s="10">
        <v>34846601</v>
      </c>
      <c r="E138" s="10">
        <v>9396361</v>
      </c>
      <c r="F138" s="10">
        <v>4299779</v>
      </c>
      <c r="G138" s="10">
        <v>11375337</v>
      </c>
      <c r="H138" s="10">
        <v>7932550</v>
      </c>
      <c r="I138" s="11">
        <v>56927456</v>
      </c>
      <c r="J138" s="221"/>
      <c r="K138" s="175">
        <f t="shared" si="21"/>
        <v>0.70340358325039398</v>
      </c>
      <c r="L138" s="175">
        <f t="shared" si="22"/>
        <v>8.0217267412604709E-2</v>
      </c>
      <c r="M138" s="175">
        <f t="shared" si="23"/>
        <v>2.1630528700413845E-2</v>
      </c>
      <c r="N138" s="175">
        <f t="shared" si="24"/>
        <v>9.8981396164894847E-3</v>
      </c>
      <c r="O138" s="175">
        <f t="shared" si="25"/>
        <v>2.6186153709439167E-2</v>
      </c>
      <c r="P138" s="175">
        <f t="shared" si="26"/>
        <v>1.8260819315314498E-2</v>
      </c>
      <c r="Q138" s="175">
        <f t="shared" si="27"/>
        <v>0.13104764396020399</v>
      </c>
    </row>
    <row r="139" spans="1:17" x14ac:dyDescent="0.3">
      <c r="A139" s="220">
        <v>39600</v>
      </c>
      <c r="B139" s="11">
        <v>481724300</v>
      </c>
      <c r="C139" s="9">
        <v>330769200</v>
      </c>
      <c r="D139" s="10">
        <v>42217850</v>
      </c>
      <c r="E139" s="10">
        <v>12465650</v>
      </c>
      <c r="F139" s="10">
        <v>4269900</v>
      </c>
      <c r="G139" s="10">
        <v>12786450</v>
      </c>
      <c r="H139" s="10">
        <v>12109880</v>
      </c>
      <c r="I139" s="11">
        <v>63508200</v>
      </c>
      <c r="J139" s="221"/>
      <c r="K139" s="175">
        <f t="shared" si="21"/>
        <v>0.68663590356558724</v>
      </c>
      <c r="L139" s="175">
        <f t="shared" si="22"/>
        <v>8.7639029212352379E-2</v>
      </c>
      <c r="M139" s="175">
        <f t="shared" si="23"/>
        <v>2.5877145911053272E-2</v>
      </c>
      <c r="N139" s="175">
        <f t="shared" si="24"/>
        <v>8.8637837036661844E-3</v>
      </c>
      <c r="O139" s="175">
        <f t="shared" si="25"/>
        <v>2.6543086989798938E-2</v>
      </c>
      <c r="P139" s="175">
        <f t="shared" si="26"/>
        <v>2.5138611442271024E-2</v>
      </c>
      <c r="Q139" s="175">
        <f t="shared" si="27"/>
        <v>0.1318351596545991</v>
      </c>
    </row>
    <row r="140" spans="1:17" x14ac:dyDescent="0.3">
      <c r="A140" s="220">
        <v>39630</v>
      </c>
      <c r="B140" s="11">
        <v>448174687</v>
      </c>
      <c r="C140" s="9">
        <v>311560500</v>
      </c>
      <c r="D140" s="10">
        <v>44210799</v>
      </c>
      <c r="E140" s="10">
        <v>9174091</v>
      </c>
      <c r="F140" s="10">
        <v>4077962</v>
      </c>
      <c r="G140" s="10">
        <v>12653963</v>
      </c>
      <c r="H140" s="10">
        <v>7897341</v>
      </c>
      <c r="I140" s="11">
        <v>55126600</v>
      </c>
      <c r="J140" s="221"/>
      <c r="K140" s="175">
        <f t="shared" si="21"/>
        <v>0.69517647702401364</v>
      </c>
      <c r="L140" s="175">
        <f t="shared" si="22"/>
        <v>9.8646354384579513E-2</v>
      </c>
      <c r="M140" s="175">
        <f t="shared" si="23"/>
        <v>2.0469899943278143E-2</v>
      </c>
      <c r="N140" s="175">
        <f t="shared" si="24"/>
        <v>9.0990457923831834E-3</v>
      </c>
      <c r="O140" s="175">
        <f t="shared" si="25"/>
        <v>2.8234443771698332E-2</v>
      </c>
      <c r="P140" s="175">
        <f t="shared" si="26"/>
        <v>1.7621122363833994E-2</v>
      </c>
      <c r="Q140" s="175">
        <f t="shared" si="27"/>
        <v>0.12300248452005948</v>
      </c>
    </row>
    <row r="141" spans="1:17" x14ac:dyDescent="0.3">
      <c r="A141" s="220">
        <v>39661</v>
      </c>
      <c r="B141" s="11">
        <v>436250300</v>
      </c>
      <c r="C141" s="9">
        <v>301525000</v>
      </c>
      <c r="D141" s="10">
        <v>40209150</v>
      </c>
      <c r="E141" s="10">
        <v>8776450</v>
      </c>
      <c r="F141" s="10">
        <v>4317100</v>
      </c>
      <c r="G141" s="10">
        <v>11877050</v>
      </c>
      <c r="H141" s="10">
        <v>8493640</v>
      </c>
      <c r="I141" s="11">
        <v>57128200</v>
      </c>
      <c r="J141" s="221"/>
      <c r="K141" s="175">
        <f t="shared" si="21"/>
        <v>0.69117430979417094</v>
      </c>
      <c r="L141" s="175">
        <f t="shared" si="22"/>
        <v>9.2169907963387074E-2</v>
      </c>
      <c r="M141" s="175">
        <f t="shared" si="23"/>
        <v>2.0117923128075785E-2</v>
      </c>
      <c r="N141" s="175">
        <f t="shared" si="24"/>
        <v>9.8959244268714535E-3</v>
      </c>
      <c r="O141" s="175">
        <f t="shared" si="25"/>
        <v>2.722531079061722E-2</v>
      </c>
      <c r="P141" s="175">
        <f t="shared" si="26"/>
        <v>1.9469648502247448E-2</v>
      </c>
      <c r="Q141" s="175">
        <f t="shared" si="27"/>
        <v>0.13095280392930389</v>
      </c>
    </row>
    <row r="142" spans="1:17" x14ac:dyDescent="0.3">
      <c r="A142" s="220">
        <v>39692</v>
      </c>
      <c r="B142" s="11">
        <v>454570797</v>
      </c>
      <c r="C142" s="9">
        <v>317616287</v>
      </c>
      <c r="D142" s="10">
        <v>47062042</v>
      </c>
      <c r="E142" s="10">
        <v>9733382</v>
      </c>
      <c r="F142" s="10">
        <v>3822371</v>
      </c>
      <c r="G142" s="10">
        <v>13740650</v>
      </c>
      <c r="H142" s="10">
        <v>8047240</v>
      </c>
      <c r="I142" s="11">
        <v>50350403</v>
      </c>
      <c r="J142" s="221"/>
      <c r="K142" s="175">
        <f t="shared" si="21"/>
        <v>0.69871687555855022</v>
      </c>
      <c r="L142" s="175">
        <f t="shared" si="22"/>
        <v>0.10353072021034382</v>
      </c>
      <c r="M142" s="175">
        <f t="shared" si="23"/>
        <v>2.1412246594450721E-2</v>
      </c>
      <c r="N142" s="175">
        <f t="shared" si="24"/>
        <v>8.4087473837436144E-3</v>
      </c>
      <c r="O142" s="175">
        <f t="shared" si="25"/>
        <v>3.0227744700458619E-2</v>
      </c>
      <c r="P142" s="175">
        <f t="shared" si="26"/>
        <v>1.7702941000849202E-2</v>
      </c>
      <c r="Q142" s="175">
        <f t="shared" si="27"/>
        <v>0.11076471109075667</v>
      </c>
    </row>
    <row r="143" spans="1:17" x14ac:dyDescent="0.3">
      <c r="A143" s="220">
        <v>39722</v>
      </c>
      <c r="B143" s="11">
        <v>449171200</v>
      </c>
      <c r="C143" s="9">
        <v>310384400</v>
      </c>
      <c r="D143" s="10">
        <v>42513250</v>
      </c>
      <c r="E143" s="10">
        <v>9773250</v>
      </c>
      <c r="F143" s="10">
        <v>4071300</v>
      </c>
      <c r="G143" s="10">
        <v>12824150</v>
      </c>
      <c r="H143" s="10">
        <v>8475720</v>
      </c>
      <c r="I143" s="11">
        <v>56861500</v>
      </c>
      <c r="J143" s="221"/>
      <c r="K143" s="175">
        <f t="shared" si="21"/>
        <v>0.69101580867161561</v>
      </c>
      <c r="L143" s="175">
        <f t="shared" si="22"/>
        <v>9.4648209858512744E-2</v>
      </c>
      <c r="M143" s="175">
        <f t="shared" si="23"/>
        <v>2.1758407484718523E-2</v>
      </c>
      <c r="N143" s="175">
        <f t="shared" si="24"/>
        <v>9.0640272573130239E-3</v>
      </c>
      <c r="O143" s="175">
        <f t="shared" si="25"/>
        <v>2.8550695146972914E-2</v>
      </c>
      <c r="P143" s="175">
        <f t="shared" si="26"/>
        <v>1.8869687103714575E-2</v>
      </c>
      <c r="Q143" s="175">
        <f t="shared" si="27"/>
        <v>0.12659204330108431</v>
      </c>
    </row>
    <row r="144" spans="1:17" x14ac:dyDescent="0.3">
      <c r="A144" s="220">
        <v>39753</v>
      </c>
      <c r="B144" s="11">
        <v>423537111</v>
      </c>
      <c r="C144" s="9">
        <v>302900600</v>
      </c>
      <c r="D144" s="10">
        <v>38954900</v>
      </c>
      <c r="E144" s="10">
        <v>7845300</v>
      </c>
      <c r="F144" s="10">
        <v>3551500</v>
      </c>
      <c r="G144" s="10">
        <v>11968550</v>
      </c>
      <c r="H144" s="10">
        <v>6296280</v>
      </c>
      <c r="I144" s="11">
        <v>47804500</v>
      </c>
      <c r="J144" s="221"/>
      <c r="K144" s="175">
        <f t="shared" si="21"/>
        <v>0.71516897134428437</v>
      </c>
      <c r="L144" s="175">
        <f t="shared" si="22"/>
        <v>9.197517522850554E-2</v>
      </c>
      <c r="M144" s="175">
        <f t="shared" si="23"/>
        <v>1.8523288269773366E-2</v>
      </c>
      <c r="N144" s="175">
        <f t="shared" si="24"/>
        <v>8.3853336762265453E-3</v>
      </c>
      <c r="O144" s="175">
        <f t="shared" si="25"/>
        <v>2.8258562683542505E-2</v>
      </c>
      <c r="P144" s="175">
        <f t="shared" si="26"/>
        <v>1.4865946422343141E-2</v>
      </c>
      <c r="Q144" s="175">
        <f t="shared" si="27"/>
        <v>0.11286968428133798</v>
      </c>
    </row>
    <row r="145" spans="1:17" x14ac:dyDescent="0.3">
      <c r="A145" s="220">
        <v>39783</v>
      </c>
      <c r="B145" s="11">
        <v>540503000</v>
      </c>
      <c r="C145" s="9">
        <v>383705700</v>
      </c>
      <c r="D145" s="10">
        <v>52671400</v>
      </c>
      <c r="E145" s="10">
        <v>10129550</v>
      </c>
      <c r="F145" s="10">
        <v>4114400</v>
      </c>
      <c r="G145" s="10">
        <v>14331850</v>
      </c>
      <c r="H145" s="10">
        <v>8114480</v>
      </c>
      <c r="I145" s="11">
        <v>61508600</v>
      </c>
      <c r="J145" s="221"/>
      <c r="K145" s="175">
        <f t="shared" si="21"/>
        <v>0.70990484789168606</v>
      </c>
      <c r="L145" s="175">
        <f t="shared" si="22"/>
        <v>9.7448857823175819E-2</v>
      </c>
      <c r="M145" s="175">
        <f t="shared" si="23"/>
        <v>1.8740969060301239E-2</v>
      </c>
      <c r="N145" s="175">
        <f t="shared" si="24"/>
        <v>7.6121686651137921E-3</v>
      </c>
      <c r="O145" s="175">
        <f t="shared" si="25"/>
        <v>2.6515764019811174E-2</v>
      </c>
      <c r="P145" s="175">
        <f t="shared" si="26"/>
        <v>1.5012830641088024E-2</v>
      </c>
      <c r="Q145" s="175">
        <f t="shared" si="27"/>
        <v>0.1137988133275856</v>
      </c>
    </row>
    <row r="146" spans="1:17" x14ac:dyDescent="0.3">
      <c r="A146" s="220">
        <v>39814</v>
      </c>
      <c r="B146" s="222">
        <v>395778400</v>
      </c>
      <c r="C146" s="9">
        <v>279967500</v>
      </c>
      <c r="D146" s="10">
        <v>40438449</v>
      </c>
      <c r="E146" s="10">
        <v>8840487</v>
      </c>
      <c r="F146" s="10">
        <v>3735500</v>
      </c>
      <c r="G146" s="10">
        <v>11000250</v>
      </c>
      <c r="H146" s="10">
        <v>7558240</v>
      </c>
      <c r="I146" s="11">
        <v>41199100</v>
      </c>
      <c r="J146" s="221"/>
      <c r="K146" s="175">
        <f t="shared" si="21"/>
        <v>0.70738448586380664</v>
      </c>
      <c r="L146" s="175">
        <f t="shared" si="22"/>
        <v>0.10217447187618121</v>
      </c>
      <c r="M146" s="175">
        <f t="shared" si="23"/>
        <v>2.2336961794782131E-2</v>
      </c>
      <c r="N146" s="175">
        <f t="shared" si="24"/>
        <v>9.4383624775884693E-3</v>
      </c>
      <c r="O146" s="175">
        <f t="shared" si="25"/>
        <v>2.7793962480014069E-2</v>
      </c>
      <c r="P146" s="175">
        <f t="shared" si="26"/>
        <v>1.9097151335191614E-2</v>
      </c>
      <c r="Q146" s="175">
        <f t="shared" si="27"/>
        <v>0.10409638322859459</v>
      </c>
    </row>
    <row r="147" spans="1:17" x14ac:dyDescent="0.3">
      <c r="A147" s="220">
        <v>39845</v>
      </c>
      <c r="B147" s="222">
        <v>389779894</v>
      </c>
      <c r="C147" s="9">
        <v>279779985</v>
      </c>
      <c r="D147" s="10">
        <v>35275910</v>
      </c>
      <c r="E147" s="10">
        <v>7052815</v>
      </c>
      <c r="F147" s="10">
        <v>5646145</v>
      </c>
      <c r="G147" s="10">
        <v>11743622</v>
      </c>
      <c r="H147" s="10">
        <v>9057588</v>
      </c>
      <c r="I147" s="11">
        <v>39461444</v>
      </c>
      <c r="J147" s="221"/>
      <c r="K147" s="175">
        <f t="shared" si="21"/>
        <v>0.71778967901304835</v>
      </c>
      <c r="L147" s="175">
        <f t="shared" si="22"/>
        <v>9.0502128362731818E-2</v>
      </c>
      <c r="M147" s="175">
        <f t="shared" si="23"/>
        <v>1.8094353014524653E-2</v>
      </c>
      <c r="N147" s="175">
        <f t="shared" si="24"/>
        <v>1.4485470099696831E-2</v>
      </c>
      <c r="O147" s="175">
        <f t="shared" si="25"/>
        <v>3.0128855235411398E-2</v>
      </c>
      <c r="P147" s="175">
        <f t="shared" si="26"/>
        <v>2.3237699377074591E-2</v>
      </c>
      <c r="Q147" s="175">
        <f t="shared" si="27"/>
        <v>0.10124032718834902</v>
      </c>
    </row>
    <row r="148" spans="1:17" x14ac:dyDescent="0.3">
      <c r="A148" s="220">
        <v>39873</v>
      </c>
      <c r="B148" s="222">
        <v>442187400</v>
      </c>
      <c r="C148" s="9">
        <v>311151700</v>
      </c>
      <c r="D148" s="10">
        <v>38172950</v>
      </c>
      <c r="E148" s="10">
        <v>9719200</v>
      </c>
      <c r="F148" s="10">
        <v>4987000</v>
      </c>
      <c r="G148" s="10">
        <v>12065800</v>
      </c>
      <c r="H148" s="10">
        <v>10314360</v>
      </c>
      <c r="I148" s="11">
        <v>52217400</v>
      </c>
      <c r="J148" s="221"/>
      <c r="K148" s="175">
        <f t="shared" si="21"/>
        <v>0.70366478104079855</v>
      </c>
      <c r="L148" s="175">
        <f t="shared" si="22"/>
        <v>8.6327538957464645E-2</v>
      </c>
      <c r="M148" s="175">
        <f t="shared" si="23"/>
        <v>2.197982122511858E-2</v>
      </c>
      <c r="N148" s="175">
        <f t="shared" si="24"/>
        <v>1.1278023751920566E-2</v>
      </c>
      <c r="O148" s="175">
        <f t="shared" si="25"/>
        <v>2.7286621011815351E-2</v>
      </c>
      <c r="P148" s="175">
        <f t="shared" si="26"/>
        <v>2.3325766405827033E-2</v>
      </c>
      <c r="Q148" s="175">
        <f t="shared" si="27"/>
        <v>0.11808884649359072</v>
      </c>
    </row>
    <row r="149" spans="1:17" x14ac:dyDescent="0.3">
      <c r="A149" s="220">
        <v>39904</v>
      </c>
      <c r="B149" s="222">
        <v>404936200</v>
      </c>
      <c r="C149" s="9">
        <v>286613900</v>
      </c>
      <c r="D149" s="10">
        <v>33054250</v>
      </c>
      <c r="E149" s="10">
        <v>8619200</v>
      </c>
      <c r="F149" s="10">
        <v>4079700</v>
      </c>
      <c r="G149" s="10">
        <v>13449050</v>
      </c>
      <c r="H149" s="10">
        <v>8514600</v>
      </c>
      <c r="I149" s="11">
        <v>46670200</v>
      </c>
      <c r="J149" s="221"/>
      <c r="K149" s="175">
        <f t="shared" si="21"/>
        <v>0.70780014234341115</v>
      </c>
      <c r="L149" s="175">
        <f t="shared" si="22"/>
        <v>8.1628291074001283E-2</v>
      </c>
      <c r="M149" s="175">
        <f t="shared" si="23"/>
        <v>2.1285328404820315E-2</v>
      </c>
      <c r="N149" s="175">
        <f t="shared" si="24"/>
        <v>1.0074920444257639E-2</v>
      </c>
      <c r="O149" s="175">
        <f t="shared" si="25"/>
        <v>3.3212762899439467E-2</v>
      </c>
      <c r="P149" s="175">
        <f t="shared" si="26"/>
        <v>2.1027016107722649E-2</v>
      </c>
      <c r="Q149" s="175">
        <f t="shared" si="27"/>
        <v>0.11525321766737574</v>
      </c>
    </row>
    <row r="150" spans="1:17" x14ac:dyDescent="0.3">
      <c r="A150" s="220">
        <v>39934</v>
      </c>
      <c r="B150" s="222">
        <v>401825100</v>
      </c>
      <c r="C150" s="9">
        <v>289010200</v>
      </c>
      <c r="D150" s="10">
        <v>31735150</v>
      </c>
      <c r="E150" s="10">
        <v>8213250</v>
      </c>
      <c r="F150" s="10">
        <v>4107900</v>
      </c>
      <c r="G150" s="10">
        <v>11380600</v>
      </c>
      <c r="H150" s="10">
        <v>8298480</v>
      </c>
      <c r="I150" s="11">
        <v>45514300</v>
      </c>
      <c r="J150" s="221"/>
      <c r="K150" s="175">
        <f t="shared" si="21"/>
        <v>0.71924377048621402</v>
      </c>
      <c r="L150" s="175">
        <f t="shared" si="22"/>
        <v>7.8977520319163733E-2</v>
      </c>
      <c r="M150" s="175">
        <f t="shared" si="23"/>
        <v>2.0439863015028179E-2</v>
      </c>
      <c r="N150" s="175">
        <f t="shared" si="24"/>
        <v>1.0223104529806624E-2</v>
      </c>
      <c r="O150" s="175">
        <f t="shared" si="25"/>
        <v>2.8322272550918296E-2</v>
      </c>
      <c r="P150" s="175">
        <f t="shared" si="26"/>
        <v>2.065197022286562E-2</v>
      </c>
      <c r="Q150" s="175">
        <f t="shared" si="27"/>
        <v>0.11326893217969709</v>
      </c>
    </row>
    <row r="151" spans="1:17" x14ac:dyDescent="0.3">
      <c r="A151" s="220">
        <v>39965</v>
      </c>
      <c r="B151" s="222">
        <v>428835300</v>
      </c>
      <c r="C151" s="9">
        <v>307460100</v>
      </c>
      <c r="D151" s="10">
        <v>34573600</v>
      </c>
      <c r="E151" s="10">
        <v>9347950</v>
      </c>
      <c r="F151" s="10">
        <v>5631900</v>
      </c>
      <c r="G151" s="10">
        <v>11611750</v>
      </c>
      <c r="H151" s="10">
        <v>8647400</v>
      </c>
      <c r="I151" s="11">
        <v>48400900</v>
      </c>
      <c r="J151" s="221"/>
      <c r="K151" s="175">
        <f t="shared" si="21"/>
        <v>0.71696546436359132</v>
      </c>
      <c r="L151" s="175">
        <f t="shared" si="22"/>
        <v>8.0622094309866749E-2</v>
      </c>
      <c r="M151" s="175">
        <f t="shared" si="23"/>
        <v>2.1798462020267455E-2</v>
      </c>
      <c r="N151" s="175">
        <f t="shared" si="24"/>
        <v>1.3133014003278182E-2</v>
      </c>
      <c r="O151" s="175">
        <f t="shared" si="25"/>
        <v>2.7077411770905987E-2</v>
      </c>
      <c r="P151" s="175">
        <f t="shared" si="26"/>
        <v>2.0164851167802651E-2</v>
      </c>
      <c r="Q151" s="175">
        <f t="shared" si="27"/>
        <v>0.1128659417729837</v>
      </c>
    </row>
    <row r="152" spans="1:17" x14ac:dyDescent="0.3">
      <c r="A152" s="220">
        <v>39995</v>
      </c>
      <c r="B152" s="222">
        <v>387767500</v>
      </c>
      <c r="C152" s="9">
        <v>279785500</v>
      </c>
      <c r="D152" s="10">
        <v>32509150</v>
      </c>
      <c r="E152" s="10">
        <v>8228800</v>
      </c>
      <c r="F152" s="10">
        <v>3490600</v>
      </c>
      <c r="G152" s="10">
        <v>10958250</v>
      </c>
      <c r="H152" s="10">
        <v>8388800</v>
      </c>
      <c r="I152" s="11">
        <v>40420100</v>
      </c>
      <c r="J152" s="221"/>
      <c r="K152" s="175">
        <f t="shared" si="21"/>
        <v>0.72152900900668571</v>
      </c>
      <c r="L152" s="175">
        <f t="shared" si="22"/>
        <v>8.3836706273733616E-2</v>
      </c>
      <c r="M152" s="175">
        <f t="shared" si="23"/>
        <v>2.1220963592874596E-2</v>
      </c>
      <c r="N152" s="175">
        <f t="shared" si="24"/>
        <v>9.0017858639519811E-3</v>
      </c>
      <c r="O152" s="175">
        <f t="shared" si="25"/>
        <v>2.8259846428594453E-2</v>
      </c>
      <c r="P152" s="175">
        <f t="shared" si="26"/>
        <v>2.1633581978891991E-2</v>
      </c>
      <c r="Q152" s="175">
        <f t="shared" si="27"/>
        <v>0.10423797765413553</v>
      </c>
    </row>
    <row r="153" spans="1:17" x14ac:dyDescent="0.3">
      <c r="A153" s="220">
        <v>40026</v>
      </c>
      <c r="B153" s="222">
        <v>379340743</v>
      </c>
      <c r="C153" s="9">
        <v>275017321</v>
      </c>
      <c r="D153" s="10">
        <v>29682639</v>
      </c>
      <c r="E153" s="10">
        <v>7972170</v>
      </c>
      <c r="F153" s="10">
        <v>3317152</v>
      </c>
      <c r="G153" s="10">
        <v>11157630</v>
      </c>
      <c r="H153" s="10">
        <v>7647774</v>
      </c>
      <c r="I153" s="11">
        <v>40651178</v>
      </c>
      <c r="J153" s="221"/>
      <c r="K153" s="175">
        <f t="shared" si="21"/>
        <v>0.72498756348985161</v>
      </c>
      <c r="L153" s="175">
        <f t="shared" si="22"/>
        <v>7.8247959249660673E-2</v>
      </c>
      <c r="M153" s="175">
        <f t="shared" si="23"/>
        <v>2.101585486692633E-2</v>
      </c>
      <c r="N153" s="175">
        <f t="shared" si="24"/>
        <v>8.7445181178442515E-3</v>
      </c>
      <c r="O153" s="175">
        <f t="shared" si="25"/>
        <v>2.9413212806408195E-2</v>
      </c>
      <c r="P153" s="175">
        <f t="shared" si="26"/>
        <v>2.0160697581593549E-2</v>
      </c>
      <c r="Q153" s="175">
        <f t="shared" si="27"/>
        <v>0.10716269936762368</v>
      </c>
    </row>
    <row r="154" spans="1:17" x14ac:dyDescent="0.3">
      <c r="A154" s="220">
        <v>40057</v>
      </c>
      <c r="B154" s="222">
        <v>398830700</v>
      </c>
      <c r="C154" s="9">
        <v>285245700</v>
      </c>
      <c r="D154" s="10">
        <v>32444700</v>
      </c>
      <c r="E154" s="10">
        <v>8075000</v>
      </c>
      <c r="F154" s="10">
        <v>3938700</v>
      </c>
      <c r="G154" s="10">
        <v>11492750</v>
      </c>
      <c r="H154" s="10">
        <v>7874040</v>
      </c>
      <c r="I154" s="11">
        <v>46385900</v>
      </c>
      <c r="J154" s="221"/>
      <c r="K154" s="175">
        <f t="shared" ref="K154:K185" si="28">C154/$B154</f>
        <v>0.71520497293713847</v>
      </c>
      <c r="L154" s="175">
        <f t="shared" ref="L154:L185" si="29">D154/$B154</f>
        <v>8.1349555086907804E-2</v>
      </c>
      <c r="M154" s="175">
        <f t="shared" ref="M154:M185" si="30">E154/$B154</f>
        <v>2.0246686125215536E-2</v>
      </c>
      <c r="N154" s="175">
        <f t="shared" ref="N154:N185" si="31">F154/$B154</f>
        <v>9.8756189029580721E-3</v>
      </c>
      <c r="O154" s="175">
        <f t="shared" ref="O154:O185" si="32">G154/$B154</f>
        <v>2.8816111698522707E-2</v>
      </c>
      <c r="P154" s="175">
        <f t="shared" ref="P154:P185" si="33">H154/$B154</f>
        <v>1.9742813178624415E-2</v>
      </c>
      <c r="Q154" s="175">
        <f t="shared" ref="Q154:Q185" si="34">I154/$B154</f>
        <v>0.11630473782484649</v>
      </c>
    </row>
    <row r="155" spans="1:17" x14ac:dyDescent="0.3">
      <c r="A155" s="220">
        <v>40087</v>
      </c>
      <c r="B155" s="222">
        <v>357069648</v>
      </c>
      <c r="C155" s="9">
        <v>278346732</v>
      </c>
      <c r="D155" s="10">
        <v>27932115</v>
      </c>
      <c r="E155" s="10">
        <v>7662667</v>
      </c>
      <c r="F155" s="10">
        <v>3028699</v>
      </c>
      <c r="G155" s="10">
        <v>10064375</v>
      </c>
      <c r="H155" s="10">
        <v>7155208</v>
      </c>
      <c r="I155" s="11">
        <v>33010823</v>
      </c>
      <c r="J155" s="221"/>
      <c r="K155" s="175">
        <f t="shared" si="28"/>
        <v>0.77953064215640078</v>
      </c>
      <c r="L155" s="175">
        <f t="shared" si="29"/>
        <v>7.8225957194771142E-2</v>
      </c>
      <c r="M155" s="175">
        <f t="shared" si="30"/>
        <v>2.1459866563623465E-2</v>
      </c>
      <c r="N155" s="175">
        <f t="shared" si="31"/>
        <v>8.4820959075188607E-3</v>
      </c>
      <c r="O155" s="175">
        <f t="shared" si="32"/>
        <v>2.8186027729805812E-2</v>
      </c>
      <c r="P155" s="175">
        <f t="shared" si="33"/>
        <v>2.0038690042901659E-2</v>
      </c>
      <c r="Q155" s="175">
        <f t="shared" si="34"/>
        <v>9.2449255166039759E-2</v>
      </c>
    </row>
    <row r="156" spans="1:17" x14ac:dyDescent="0.3">
      <c r="A156" s="220">
        <v>40118</v>
      </c>
      <c r="B156" s="222">
        <v>349744378</v>
      </c>
      <c r="C156" s="9">
        <v>279677300</v>
      </c>
      <c r="D156" s="10">
        <v>26740226</v>
      </c>
      <c r="E156" s="10">
        <v>8222145</v>
      </c>
      <c r="F156" s="10">
        <v>3492100</v>
      </c>
      <c r="G156" s="10">
        <v>9807500</v>
      </c>
      <c r="H156" s="10">
        <v>6670360</v>
      </c>
      <c r="I156" s="11">
        <v>33880542</v>
      </c>
      <c r="J156" s="221"/>
      <c r="K156" s="175">
        <f t="shared" si="28"/>
        <v>0.79966203202271346</v>
      </c>
      <c r="L156" s="175">
        <f t="shared" si="29"/>
        <v>7.6456485599319626E-2</v>
      </c>
      <c r="M156" s="175">
        <f t="shared" si="30"/>
        <v>2.3509012630933555E-2</v>
      </c>
      <c r="N156" s="175">
        <f t="shared" si="31"/>
        <v>9.984720898072591E-3</v>
      </c>
      <c r="O156" s="175">
        <f t="shared" si="32"/>
        <v>2.804190893956271E-2</v>
      </c>
      <c r="P156" s="175">
        <f t="shared" si="33"/>
        <v>1.9072100710079178E-2</v>
      </c>
      <c r="Q156" s="175">
        <f t="shared" si="34"/>
        <v>9.6872299116699451E-2</v>
      </c>
    </row>
    <row r="157" spans="1:17" x14ac:dyDescent="0.3">
      <c r="A157" s="220">
        <v>40148</v>
      </c>
      <c r="B157" s="222">
        <v>466748662</v>
      </c>
      <c r="C157" s="9">
        <v>377758079</v>
      </c>
      <c r="D157" s="10">
        <v>34760541</v>
      </c>
      <c r="E157" s="10">
        <v>8397881</v>
      </c>
      <c r="F157" s="10">
        <v>3816162</v>
      </c>
      <c r="G157" s="10">
        <v>11277627</v>
      </c>
      <c r="H157" s="10">
        <v>7743212</v>
      </c>
      <c r="I157" s="11">
        <v>35647487</v>
      </c>
      <c r="J157" s="221"/>
      <c r="K157" s="175">
        <f t="shared" si="28"/>
        <v>0.80933939345711503</v>
      </c>
      <c r="L157" s="175">
        <f t="shared" si="29"/>
        <v>7.4473788207667105E-2</v>
      </c>
      <c r="M157" s="175">
        <f t="shared" si="30"/>
        <v>1.7992297961852539E-2</v>
      </c>
      <c r="N157" s="175">
        <f t="shared" si="31"/>
        <v>8.1760534323717035E-3</v>
      </c>
      <c r="O157" s="175">
        <f t="shared" si="32"/>
        <v>2.4162098187225228E-2</v>
      </c>
      <c r="P157" s="175">
        <f t="shared" si="33"/>
        <v>1.6589682264584616E-2</v>
      </c>
      <c r="Q157" s="175">
        <f t="shared" si="34"/>
        <v>7.6374052894446223E-2</v>
      </c>
    </row>
    <row r="158" spans="1:17" x14ac:dyDescent="0.3">
      <c r="A158" s="220">
        <v>40179</v>
      </c>
      <c r="B158" s="222">
        <v>343230928</v>
      </c>
      <c r="C158" s="9">
        <v>263285279</v>
      </c>
      <c r="D158" s="10">
        <v>32528019</v>
      </c>
      <c r="E158" s="10">
        <v>8504223</v>
      </c>
      <c r="F158" s="10">
        <v>3287611</v>
      </c>
      <c r="G158" s="10">
        <v>9240114</v>
      </c>
      <c r="H158" s="10">
        <v>7416809</v>
      </c>
      <c r="I158" s="11">
        <v>34129668</v>
      </c>
      <c r="J158" s="221"/>
      <c r="K158" s="175">
        <f t="shared" si="28"/>
        <v>0.76707912231032982</v>
      </c>
      <c r="L158" s="175">
        <f t="shared" si="29"/>
        <v>9.4770069788116529E-2</v>
      </c>
      <c r="M158" s="175">
        <f t="shared" si="30"/>
        <v>2.4776971730239881E-2</v>
      </c>
      <c r="N158" s="175">
        <f t="shared" si="31"/>
        <v>9.5784229561037687E-3</v>
      </c>
      <c r="O158" s="175">
        <f t="shared" si="32"/>
        <v>2.6920983064789544E-2</v>
      </c>
      <c r="P158" s="175">
        <f t="shared" si="33"/>
        <v>2.160880152385335E-2</v>
      </c>
      <c r="Q158" s="175">
        <f t="shared" si="34"/>
        <v>9.9436458709804845E-2</v>
      </c>
    </row>
    <row r="159" spans="1:17" x14ac:dyDescent="0.3">
      <c r="A159" s="220">
        <v>40210</v>
      </c>
      <c r="B159" s="222">
        <v>348790877</v>
      </c>
      <c r="C159" s="9">
        <v>266509195</v>
      </c>
      <c r="D159" s="10">
        <v>31437887</v>
      </c>
      <c r="E159" s="10">
        <v>7640442</v>
      </c>
      <c r="F159" s="10">
        <v>3392448</v>
      </c>
      <c r="G159" s="10">
        <v>10026446</v>
      </c>
      <c r="H159" s="10">
        <v>7290070</v>
      </c>
      <c r="I159" s="11">
        <v>32257509</v>
      </c>
      <c r="J159" s="221"/>
      <c r="K159" s="175">
        <f t="shared" si="28"/>
        <v>0.76409451213943302</v>
      </c>
      <c r="L159" s="175">
        <f t="shared" si="29"/>
        <v>9.0133914253726313E-2</v>
      </c>
      <c r="M159" s="175">
        <f t="shared" si="30"/>
        <v>2.1905509873757393E-2</v>
      </c>
      <c r="N159" s="175">
        <f t="shared" si="31"/>
        <v>9.726309441287365E-3</v>
      </c>
      <c r="O159" s="175">
        <f t="shared" si="32"/>
        <v>2.8746296595366514E-2</v>
      </c>
      <c r="P159" s="175">
        <f t="shared" si="33"/>
        <v>2.090097671906711E-2</v>
      </c>
      <c r="Q159" s="175">
        <f t="shared" si="34"/>
        <v>9.2483809431747263E-2</v>
      </c>
    </row>
    <row r="160" spans="1:17" x14ac:dyDescent="0.3">
      <c r="A160" s="220">
        <v>40238</v>
      </c>
      <c r="B160" s="222">
        <v>427026295</v>
      </c>
      <c r="C160" s="9">
        <v>326149600</v>
      </c>
      <c r="D160" s="10">
        <v>37784130</v>
      </c>
      <c r="E160" s="10">
        <v>1490783</v>
      </c>
      <c r="F160" s="10">
        <v>3983314</v>
      </c>
      <c r="G160" s="10">
        <v>13616095</v>
      </c>
      <c r="H160" s="10">
        <v>8889106</v>
      </c>
      <c r="I160" s="11">
        <v>48406256</v>
      </c>
      <c r="J160" s="221"/>
      <c r="K160" s="175">
        <f t="shared" si="28"/>
        <v>0.76376935991728567</v>
      </c>
      <c r="L160" s="175">
        <f t="shared" si="29"/>
        <v>8.8481975097107313E-2</v>
      </c>
      <c r="M160" s="175">
        <f t="shared" si="30"/>
        <v>3.4910800984749662E-3</v>
      </c>
      <c r="N160" s="175">
        <f t="shared" si="31"/>
        <v>9.3280297879548609E-3</v>
      </c>
      <c r="O160" s="175">
        <f t="shared" si="32"/>
        <v>3.188584674861767E-2</v>
      </c>
      <c r="P160" s="175">
        <f t="shared" si="33"/>
        <v>2.0816296570214721E-2</v>
      </c>
      <c r="Q160" s="175">
        <f t="shared" si="34"/>
        <v>0.11335661659898484</v>
      </c>
    </row>
    <row r="161" spans="1:17" x14ac:dyDescent="0.3">
      <c r="A161" s="220">
        <v>40269</v>
      </c>
      <c r="B161" s="222">
        <v>395713067</v>
      </c>
      <c r="C161" s="9">
        <v>292363067</v>
      </c>
      <c r="D161" s="10">
        <v>37757225</v>
      </c>
      <c r="E161" s="10">
        <v>9385671</v>
      </c>
      <c r="F161" s="10">
        <v>3759600</v>
      </c>
      <c r="G161" s="10">
        <v>11346137</v>
      </c>
      <c r="H161" s="10">
        <v>8088437</v>
      </c>
      <c r="I161" s="11">
        <v>42941003</v>
      </c>
      <c r="J161" s="221"/>
      <c r="K161" s="175">
        <f t="shared" si="28"/>
        <v>0.73882591044182022</v>
      </c>
      <c r="L161" s="175">
        <f t="shared" si="29"/>
        <v>9.5415663895678224E-2</v>
      </c>
      <c r="M161" s="175">
        <f t="shared" si="30"/>
        <v>2.3718375213523085E-2</v>
      </c>
      <c r="N161" s="175">
        <f t="shared" si="31"/>
        <v>9.5008234843051067E-3</v>
      </c>
      <c r="O161" s="175">
        <f t="shared" si="32"/>
        <v>2.8672636680961563E-2</v>
      </c>
      <c r="P161" s="175">
        <f t="shared" si="33"/>
        <v>2.0440156453059459E-2</v>
      </c>
      <c r="Q161" s="175">
        <f t="shared" si="34"/>
        <v>0.10851550424034898</v>
      </c>
    </row>
    <row r="162" spans="1:17" x14ac:dyDescent="0.3">
      <c r="A162" s="220">
        <v>40299</v>
      </c>
      <c r="B162" s="222">
        <v>392280421</v>
      </c>
      <c r="C162" s="9">
        <v>284514073</v>
      </c>
      <c r="D162" s="10">
        <v>38955293</v>
      </c>
      <c r="E162" s="10">
        <v>8662548</v>
      </c>
      <c r="F162" s="10">
        <v>3544174</v>
      </c>
      <c r="G162" s="10">
        <v>11665951</v>
      </c>
      <c r="H162" s="10">
        <v>9127484</v>
      </c>
      <c r="I162" s="11">
        <v>41923997</v>
      </c>
      <c r="J162" s="221"/>
      <c r="K162" s="175">
        <f t="shared" si="28"/>
        <v>0.72528236885929109</v>
      </c>
      <c r="L162" s="175">
        <f t="shared" si="29"/>
        <v>9.9304708862846869E-2</v>
      </c>
      <c r="M162" s="175">
        <f t="shared" si="30"/>
        <v>2.2082539775799822E-2</v>
      </c>
      <c r="N162" s="175">
        <f t="shared" si="31"/>
        <v>9.0347970744122357E-3</v>
      </c>
      <c r="O162" s="175">
        <f t="shared" si="32"/>
        <v>2.9738805139092068E-2</v>
      </c>
      <c r="P162" s="175">
        <f t="shared" si="33"/>
        <v>2.3267753146415635E-2</v>
      </c>
      <c r="Q162" s="175">
        <f t="shared" si="34"/>
        <v>0.10687251964583774</v>
      </c>
    </row>
    <row r="163" spans="1:17" x14ac:dyDescent="0.3">
      <c r="A163" s="220">
        <v>40330</v>
      </c>
      <c r="B163" s="222">
        <v>421643265</v>
      </c>
      <c r="C163" s="9">
        <v>315218729</v>
      </c>
      <c r="D163" s="10">
        <v>37165407</v>
      </c>
      <c r="E163" s="10">
        <v>9752721</v>
      </c>
      <c r="F163" s="10">
        <v>3880522</v>
      </c>
      <c r="G163" s="10">
        <v>12152605</v>
      </c>
      <c r="H163" s="10">
        <v>8842700</v>
      </c>
      <c r="I163" s="11">
        <v>41262619</v>
      </c>
      <c r="J163" s="221"/>
      <c r="K163" s="175">
        <f t="shared" si="28"/>
        <v>0.74759578811249361</v>
      </c>
      <c r="L163" s="175">
        <f t="shared" si="29"/>
        <v>8.8144196967073582E-2</v>
      </c>
      <c r="M163" s="175">
        <f t="shared" si="30"/>
        <v>2.3130266292762911E-2</v>
      </c>
      <c r="N163" s="175">
        <f t="shared" si="31"/>
        <v>9.2033297389441278E-3</v>
      </c>
      <c r="O163" s="175">
        <f t="shared" si="32"/>
        <v>2.8822006679034704E-2</v>
      </c>
      <c r="P163" s="175">
        <f t="shared" si="33"/>
        <v>2.0971993943742943E-2</v>
      </c>
      <c r="Q163" s="175">
        <f t="shared" si="34"/>
        <v>9.7861444555505939E-2</v>
      </c>
    </row>
    <row r="164" spans="1:17" x14ac:dyDescent="0.3">
      <c r="A164" s="220">
        <v>40360</v>
      </c>
      <c r="B164" s="222">
        <v>381829604</v>
      </c>
      <c r="C164" s="9">
        <v>285931886</v>
      </c>
      <c r="D164" s="10">
        <v>35195899</v>
      </c>
      <c r="E164" s="10">
        <v>9109399</v>
      </c>
      <c r="F164" s="10">
        <v>3797401</v>
      </c>
      <c r="G164" s="10">
        <v>12231357</v>
      </c>
      <c r="H164" s="10">
        <v>8622704</v>
      </c>
      <c r="I164" s="11">
        <v>33397311</v>
      </c>
      <c r="J164" s="221"/>
      <c r="K164" s="175">
        <f t="shared" si="28"/>
        <v>0.74884682330707919</v>
      </c>
      <c r="L164" s="175">
        <f t="shared" si="29"/>
        <v>9.2176977979947311E-2</v>
      </c>
      <c r="M164" s="175">
        <f t="shared" si="30"/>
        <v>2.3857236067007521E-2</v>
      </c>
      <c r="N164" s="175">
        <f t="shared" si="31"/>
        <v>9.9452765323036606E-3</v>
      </c>
      <c r="O164" s="175">
        <f t="shared" si="32"/>
        <v>3.2033548137351861E-2</v>
      </c>
      <c r="P164" s="175">
        <f t="shared" si="33"/>
        <v>2.2582596817191786E-2</v>
      </c>
      <c r="Q164" s="175">
        <f t="shared" si="34"/>
        <v>8.7466531275034398E-2</v>
      </c>
    </row>
    <row r="165" spans="1:17" x14ac:dyDescent="0.3">
      <c r="A165" s="220">
        <v>40391</v>
      </c>
      <c r="B165" s="222">
        <v>390761830</v>
      </c>
      <c r="C165" s="9">
        <v>292804000</v>
      </c>
      <c r="D165" s="10">
        <v>35660000</v>
      </c>
      <c r="E165" s="10">
        <v>8305500</v>
      </c>
      <c r="F165" s="10">
        <v>3565100</v>
      </c>
      <c r="G165" s="10">
        <v>12563100</v>
      </c>
      <c r="H165" s="10">
        <v>7959800</v>
      </c>
      <c r="I165" s="11">
        <v>36442724</v>
      </c>
      <c r="J165" s="221"/>
      <c r="K165" s="175">
        <f t="shared" si="28"/>
        <v>0.749315766076743</v>
      </c>
      <c r="L165" s="175">
        <f t="shared" si="29"/>
        <v>9.1257633837982591E-2</v>
      </c>
      <c r="M165" s="175">
        <f t="shared" si="30"/>
        <v>2.1254634824491431E-2</v>
      </c>
      <c r="N165" s="175">
        <f t="shared" si="31"/>
        <v>9.1234601905718377E-3</v>
      </c>
      <c r="O165" s="175">
        <f t="shared" si="32"/>
        <v>3.2150274247615226E-2</v>
      </c>
      <c r="P165" s="175">
        <f t="shared" si="33"/>
        <v>2.0369952715187153E-2</v>
      </c>
      <c r="Q165" s="175">
        <f t="shared" si="34"/>
        <v>9.3260705632379703E-2</v>
      </c>
    </row>
    <row r="166" spans="1:17" x14ac:dyDescent="0.3">
      <c r="A166" s="220">
        <v>40422</v>
      </c>
      <c r="B166" s="222">
        <v>420127826</v>
      </c>
      <c r="C166" s="9">
        <v>305088800</v>
      </c>
      <c r="D166" s="10">
        <v>43127600</v>
      </c>
      <c r="E166" s="10">
        <v>9119430</v>
      </c>
      <c r="F166" s="10">
        <v>3780300</v>
      </c>
      <c r="G166" s="10">
        <v>15621550</v>
      </c>
      <c r="H166" s="10">
        <v>8566080</v>
      </c>
      <c r="I166" s="11">
        <v>42157100</v>
      </c>
      <c r="J166" s="221"/>
      <c r="K166" s="175">
        <f t="shared" si="28"/>
        <v>0.72618089333602009</v>
      </c>
      <c r="L166" s="175">
        <f t="shared" si="29"/>
        <v>0.10265351955049985</v>
      </c>
      <c r="M166" s="175">
        <f t="shared" si="30"/>
        <v>2.1706322303917093E-2</v>
      </c>
      <c r="N166" s="175">
        <f t="shared" si="31"/>
        <v>8.9979757732114602E-3</v>
      </c>
      <c r="O166" s="175">
        <f t="shared" si="32"/>
        <v>3.7182850154752665E-2</v>
      </c>
      <c r="P166" s="175">
        <f t="shared" si="33"/>
        <v>2.0389223159905625E-2</v>
      </c>
      <c r="Q166" s="175">
        <f t="shared" si="34"/>
        <v>0.10034350831120623</v>
      </c>
    </row>
    <row r="167" spans="1:17" x14ac:dyDescent="0.3">
      <c r="A167" s="220">
        <v>40452</v>
      </c>
      <c r="B167" s="222">
        <v>390628355</v>
      </c>
      <c r="C167" s="9">
        <v>286013600</v>
      </c>
      <c r="D167" s="10">
        <v>36722300</v>
      </c>
      <c r="E167" s="10">
        <v>8556250</v>
      </c>
      <c r="F167" s="10">
        <v>3619400</v>
      </c>
      <c r="G167" s="10">
        <v>12353100</v>
      </c>
      <c r="H167" s="10">
        <v>8718520</v>
      </c>
      <c r="I167" s="11">
        <v>41249000</v>
      </c>
      <c r="J167" s="221"/>
      <c r="K167" s="175">
        <f t="shared" si="28"/>
        <v>0.73218852737917606</v>
      </c>
      <c r="L167" s="175">
        <f t="shared" si="29"/>
        <v>9.4008280581679746E-2</v>
      </c>
      <c r="M167" s="175">
        <f t="shared" si="30"/>
        <v>2.1903811872540591E-2</v>
      </c>
      <c r="N167" s="175">
        <f t="shared" si="31"/>
        <v>9.2655844197485349E-3</v>
      </c>
      <c r="O167" s="175">
        <f t="shared" si="32"/>
        <v>3.1623664390671283E-2</v>
      </c>
      <c r="P167" s="175">
        <f t="shared" si="33"/>
        <v>2.2319219504687519E-2</v>
      </c>
      <c r="Q167" s="175">
        <f t="shared" si="34"/>
        <v>0.10559653305249692</v>
      </c>
    </row>
    <row r="168" spans="1:17" x14ac:dyDescent="0.3">
      <c r="A168" s="220">
        <v>40483</v>
      </c>
      <c r="B168" s="222">
        <v>403997867</v>
      </c>
      <c r="C168" s="9">
        <v>303318181</v>
      </c>
      <c r="D168" s="10">
        <v>38517527</v>
      </c>
      <c r="E168" s="10">
        <v>8266510</v>
      </c>
      <c r="F168" s="10">
        <v>3418569</v>
      </c>
      <c r="G168" s="10">
        <v>12265491</v>
      </c>
      <c r="H168" s="10">
        <v>8746366</v>
      </c>
      <c r="I168" s="11">
        <v>37480350</v>
      </c>
      <c r="J168" s="221"/>
      <c r="K168" s="175">
        <f t="shared" si="28"/>
        <v>0.75079154068900067</v>
      </c>
      <c r="L168" s="175">
        <f t="shared" si="29"/>
        <v>9.5340916738057932E-2</v>
      </c>
      <c r="M168" s="175">
        <f t="shared" si="30"/>
        <v>2.0461766447890675E-2</v>
      </c>
      <c r="N168" s="175">
        <f t="shared" si="31"/>
        <v>8.4618491314955389E-3</v>
      </c>
      <c r="O168" s="175">
        <f t="shared" si="32"/>
        <v>3.036028653091874E-2</v>
      </c>
      <c r="P168" s="175">
        <f t="shared" si="33"/>
        <v>2.1649535095193954E-2</v>
      </c>
      <c r="Q168" s="175">
        <f t="shared" si="34"/>
        <v>9.2773633381584161E-2</v>
      </c>
    </row>
    <row r="169" spans="1:17" x14ac:dyDescent="0.3">
      <c r="A169" s="220">
        <v>40513</v>
      </c>
      <c r="B169" s="222">
        <v>517947093</v>
      </c>
      <c r="C169" s="9">
        <v>399872335</v>
      </c>
      <c r="D169" s="10">
        <v>46628283</v>
      </c>
      <c r="E169" s="10">
        <v>10171311</v>
      </c>
      <c r="F169" s="10">
        <v>4069384</v>
      </c>
      <c r="G169" s="10">
        <v>15825353</v>
      </c>
      <c r="H169" s="10">
        <v>10537110</v>
      </c>
      <c r="I169" s="11">
        <v>40319802</v>
      </c>
      <c r="J169" s="221"/>
      <c r="K169" s="175">
        <f t="shared" si="28"/>
        <v>0.77203316787415588</v>
      </c>
      <c r="L169" s="175">
        <f t="shared" si="29"/>
        <v>9.0025185255745807E-2</v>
      </c>
      <c r="M169" s="175">
        <f t="shared" si="30"/>
        <v>1.9637741262503814E-2</v>
      </c>
      <c r="N169" s="175">
        <f t="shared" si="31"/>
        <v>7.856756133970617E-3</v>
      </c>
      <c r="O169" s="175">
        <f t="shared" si="32"/>
        <v>3.055399521278904E-2</v>
      </c>
      <c r="P169" s="175">
        <f t="shared" si="33"/>
        <v>2.034398907225839E-2</v>
      </c>
      <c r="Q169" s="175">
        <f t="shared" si="34"/>
        <v>7.7845406499848821E-2</v>
      </c>
    </row>
    <row r="170" spans="1:17" x14ac:dyDescent="0.3">
      <c r="A170" s="220">
        <v>40544</v>
      </c>
      <c r="B170" s="222">
        <v>369759200</v>
      </c>
      <c r="C170" s="9">
        <v>270419200</v>
      </c>
      <c r="D170" s="10">
        <v>37382023</v>
      </c>
      <c r="E170" s="10">
        <v>7963883</v>
      </c>
      <c r="F170" s="10">
        <v>3545700</v>
      </c>
      <c r="G170" s="10">
        <v>12091450</v>
      </c>
      <c r="H170" s="10">
        <v>11619120</v>
      </c>
      <c r="I170" s="11">
        <v>34719800</v>
      </c>
      <c r="J170" s="221"/>
      <c r="K170" s="175">
        <f t="shared" si="28"/>
        <v>0.73133866581277762</v>
      </c>
      <c r="L170" s="175">
        <f t="shared" si="29"/>
        <v>0.10109829045497719</v>
      </c>
      <c r="M170" s="175">
        <f t="shared" si="30"/>
        <v>2.1538025287808932E-2</v>
      </c>
      <c r="N170" s="175">
        <f t="shared" si="31"/>
        <v>9.5892137369401487E-3</v>
      </c>
      <c r="O170" s="175">
        <f t="shared" si="32"/>
        <v>3.2700876678660055E-2</v>
      </c>
      <c r="P170" s="175">
        <f t="shared" si="33"/>
        <v>3.1423477766070462E-2</v>
      </c>
      <c r="Q170" s="175">
        <f t="shared" si="34"/>
        <v>9.3898407395948499E-2</v>
      </c>
    </row>
    <row r="171" spans="1:17" x14ac:dyDescent="0.3">
      <c r="A171" s="220">
        <v>40575</v>
      </c>
      <c r="B171" s="222">
        <v>382045400</v>
      </c>
      <c r="C171" s="9">
        <v>281157500</v>
      </c>
      <c r="D171" s="10">
        <v>36925700</v>
      </c>
      <c r="E171" s="10">
        <v>7519100</v>
      </c>
      <c r="F171" s="10">
        <v>3656200</v>
      </c>
      <c r="G171" s="10">
        <v>10917250</v>
      </c>
      <c r="H171" s="10">
        <v>9736400</v>
      </c>
      <c r="I171" s="11">
        <v>38464600</v>
      </c>
      <c r="J171" s="221"/>
      <c r="K171" s="175">
        <f t="shared" si="28"/>
        <v>0.73592693433817025</v>
      </c>
      <c r="L171" s="175">
        <f t="shared" si="29"/>
        <v>9.6652649135416893E-2</v>
      </c>
      <c r="M171" s="175">
        <f t="shared" si="30"/>
        <v>1.9681168782558302E-2</v>
      </c>
      <c r="N171" s="175">
        <f t="shared" si="31"/>
        <v>9.570066803578841E-3</v>
      </c>
      <c r="O171" s="175">
        <f t="shared" si="32"/>
        <v>2.857579230112442E-2</v>
      </c>
      <c r="P171" s="175">
        <f t="shared" si="33"/>
        <v>2.5484929278038682E-2</v>
      </c>
      <c r="Q171" s="175">
        <f t="shared" si="34"/>
        <v>0.10068070443983883</v>
      </c>
    </row>
    <row r="172" spans="1:17" x14ac:dyDescent="0.3">
      <c r="A172" s="220">
        <v>40603</v>
      </c>
      <c r="B172" s="222">
        <v>474896101</v>
      </c>
      <c r="C172" s="9">
        <v>352817600</v>
      </c>
      <c r="D172" s="10">
        <v>43076400</v>
      </c>
      <c r="E172" s="10">
        <v>9845300</v>
      </c>
      <c r="F172" s="10">
        <v>4350700</v>
      </c>
      <c r="G172" s="10">
        <v>14641400</v>
      </c>
      <c r="H172" s="10">
        <v>12812880</v>
      </c>
      <c r="I172" s="11">
        <v>41544400</v>
      </c>
      <c r="J172" s="221"/>
      <c r="K172" s="175">
        <f t="shared" si="28"/>
        <v>0.74293640073494727</v>
      </c>
      <c r="L172" s="175">
        <f t="shared" si="29"/>
        <v>9.070699866621984E-2</v>
      </c>
      <c r="M172" s="175">
        <f t="shared" si="30"/>
        <v>2.0731482063694601E-2</v>
      </c>
      <c r="N172" s="175">
        <f t="shared" si="31"/>
        <v>9.1613723314186574E-3</v>
      </c>
      <c r="O172" s="175">
        <f t="shared" si="32"/>
        <v>3.0830743754621814E-2</v>
      </c>
      <c r="P172" s="175">
        <f t="shared" si="33"/>
        <v>2.6980385758105012E-2</v>
      </c>
      <c r="Q172" s="175">
        <f t="shared" si="34"/>
        <v>8.7481029876890909E-2</v>
      </c>
    </row>
    <row r="173" spans="1:17" x14ac:dyDescent="0.3">
      <c r="A173" s="220">
        <v>40634</v>
      </c>
      <c r="B173" s="222">
        <v>441776300</v>
      </c>
      <c r="C173" s="9">
        <v>371707600</v>
      </c>
      <c r="D173" s="10">
        <v>45837900</v>
      </c>
      <c r="E173" s="10">
        <v>9208700</v>
      </c>
      <c r="F173" s="10">
        <v>3321100</v>
      </c>
      <c r="G173" s="10">
        <v>12035350</v>
      </c>
      <c r="H173" s="10">
        <v>11829640</v>
      </c>
      <c r="I173" s="11">
        <v>41488000</v>
      </c>
      <c r="J173" s="221"/>
      <c r="K173" s="175">
        <f t="shared" si="28"/>
        <v>0.84139325717563396</v>
      </c>
      <c r="L173" s="175">
        <f t="shared" si="29"/>
        <v>0.10375816900997178</v>
      </c>
      <c r="M173" s="175">
        <f t="shared" si="30"/>
        <v>2.0844712584174387E-2</v>
      </c>
      <c r="N173" s="175">
        <f t="shared" si="31"/>
        <v>7.5176056298176253E-3</v>
      </c>
      <c r="O173" s="175">
        <f t="shared" si="32"/>
        <v>2.7243086602880235E-2</v>
      </c>
      <c r="P173" s="175">
        <f t="shared" si="33"/>
        <v>2.6777443697183392E-2</v>
      </c>
      <c r="Q173" s="175">
        <f t="shared" si="34"/>
        <v>9.3911782954404749E-2</v>
      </c>
    </row>
    <row r="174" spans="1:17" x14ac:dyDescent="0.3">
      <c r="A174" s="220">
        <v>40664</v>
      </c>
      <c r="B174" s="222">
        <v>450041372</v>
      </c>
      <c r="C174" s="9">
        <v>301768932</v>
      </c>
      <c r="D174" s="10">
        <v>42910919</v>
      </c>
      <c r="E174" s="10">
        <v>8977648</v>
      </c>
      <c r="F174" s="10">
        <v>3324074</v>
      </c>
      <c r="G174" s="10">
        <v>12269912</v>
      </c>
      <c r="H174" s="10">
        <v>13868878</v>
      </c>
      <c r="I174" s="11">
        <v>40108655</v>
      </c>
      <c r="J174" s="221"/>
      <c r="K174" s="175">
        <f t="shared" si="28"/>
        <v>0.67053597907883011</v>
      </c>
      <c r="L174" s="175">
        <f t="shared" si="29"/>
        <v>9.5348831618085106E-2</v>
      </c>
      <c r="M174" s="175">
        <f t="shared" si="30"/>
        <v>1.9948494868600657E-2</v>
      </c>
      <c r="N174" s="175">
        <f t="shared" si="31"/>
        <v>7.386152044705792E-3</v>
      </c>
      <c r="O174" s="175">
        <f t="shared" si="32"/>
        <v>2.7263964522799472E-2</v>
      </c>
      <c r="P174" s="175">
        <f t="shared" si="33"/>
        <v>3.0816895651984637E-2</v>
      </c>
      <c r="Q174" s="175">
        <f t="shared" si="34"/>
        <v>8.9122150751953538E-2</v>
      </c>
    </row>
    <row r="175" spans="1:17" x14ac:dyDescent="0.3">
      <c r="A175" s="220">
        <v>40695</v>
      </c>
      <c r="B175" s="222">
        <v>468626800</v>
      </c>
      <c r="C175" s="9">
        <v>342086800</v>
      </c>
      <c r="D175" s="10">
        <v>45289100</v>
      </c>
      <c r="E175" s="10">
        <v>10364150</v>
      </c>
      <c r="F175" s="10">
        <v>3493600</v>
      </c>
      <c r="G175" s="10">
        <v>13812250</v>
      </c>
      <c r="H175" s="10">
        <v>14531920</v>
      </c>
      <c r="I175" s="11">
        <v>49816600</v>
      </c>
      <c r="J175" s="221"/>
      <c r="K175" s="175">
        <f t="shared" si="28"/>
        <v>0.72997703076307208</v>
      </c>
      <c r="L175" s="175">
        <f t="shared" si="29"/>
        <v>9.6642146799969617E-2</v>
      </c>
      <c r="M175" s="175">
        <f t="shared" si="30"/>
        <v>2.2115999341053478E-2</v>
      </c>
      <c r="N175" s="175">
        <f t="shared" si="31"/>
        <v>7.4549726989578914E-3</v>
      </c>
      <c r="O175" s="175">
        <f t="shared" si="32"/>
        <v>2.9473879854929337E-2</v>
      </c>
      <c r="P175" s="175">
        <f t="shared" si="33"/>
        <v>3.1009579477742202E-2</v>
      </c>
      <c r="Q175" s="175">
        <f t="shared" si="34"/>
        <v>0.10630335268917612</v>
      </c>
    </row>
    <row r="176" spans="1:17" x14ac:dyDescent="0.3">
      <c r="A176" s="220">
        <v>40725</v>
      </c>
      <c r="B176" s="222">
        <v>418782600</v>
      </c>
      <c r="C176" s="9">
        <v>290394000</v>
      </c>
      <c r="D176" s="10">
        <v>28616442</v>
      </c>
      <c r="E176" s="10">
        <v>9262850</v>
      </c>
      <c r="F176" s="10">
        <v>3258300</v>
      </c>
      <c r="G176" s="10">
        <v>12598050</v>
      </c>
      <c r="H176" s="10">
        <v>11442680</v>
      </c>
      <c r="I176" s="11">
        <v>44023900</v>
      </c>
      <c r="J176" s="221"/>
      <c r="K176" s="175">
        <f t="shared" si="28"/>
        <v>0.69342422536179871</v>
      </c>
      <c r="L176" s="175">
        <f t="shared" si="29"/>
        <v>6.8332452207899755E-2</v>
      </c>
      <c r="M176" s="175">
        <f t="shared" si="30"/>
        <v>2.2118516862926013E-2</v>
      </c>
      <c r="N176" s="175">
        <f t="shared" si="31"/>
        <v>7.7804092147094935E-3</v>
      </c>
      <c r="O176" s="175">
        <f t="shared" si="32"/>
        <v>3.0082553573142722E-2</v>
      </c>
      <c r="P176" s="175">
        <f t="shared" si="33"/>
        <v>2.7323675816521509E-2</v>
      </c>
      <c r="Q176" s="175">
        <f t="shared" si="34"/>
        <v>0.1051235175482458</v>
      </c>
    </row>
    <row r="177" spans="1:17" x14ac:dyDescent="0.3">
      <c r="A177" s="220">
        <v>40756</v>
      </c>
      <c r="B177" s="222">
        <v>426307000</v>
      </c>
      <c r="C177" s="9">
        <v>305724200</v>
      </c>
      <c r="D177" s="10">
        <v>39872300</v>
      </c>
      <c r="E177" s="10">
        <v>10681450</v>
      </c>
      <c r="F177" s="10">
        <v>3302200</v>
      </c>
      <c r="G177" s="10">
        <v>12651550</v>
      </c>
      <c r="H177" s="10">
        <v>12565200</v>
      </c>
      <c r="I177" s="11">
        <v>46661300</v>
      </c>
      <c r="J177" s="221"/>
      <c r="K177" s="175">
        <f t="shared" si="28"/>
        <v>0.71714562510115953</v>
      </c>
      <c r="L177" s="175">
        <f t="shared" si="29"/>
        <v>9.3529545609150208E-2</v>
      </c>
      <c r="M177" s="175">
        <f t="shared" si="30"/>
        <v>2.5055769668337606E-2</v>
      </c>
      <c r="N177" s="175">
        <f t="shared" si="31"/>
        <v>7.7460609373057442E-3</v>
      </c>
      <c r="O177" s="175">
        <f t="shared" si="32"/>
        <v>2.9677087169574977E-2</v>
      </c>
      <c r="P177" s="175">
        <f t="shared" si="33"/>
        <v>2.9474533610754691E-2</v>
      </c>
      <c r="Q177" s="175">
        <f t="shared" si="34"/>
        <v>0.10945468875716327</v>
      </c>
    </row>
    <row r="178" spans="1:17" x14ac:dyDescent="0.3">
      <c r="A178" s="220">
        <v>40787</v>
      </c>
      <c r="B178" s="222">
        <v>468079000</v>
      </c>
      <c r="C178" s="9">
        <v>327979700</v>
      </c>
      <c r="D178" s="10">
        <v>38202300</v>
      </c>
      <c r="E178" s="10">
        <v>10153900</v>
      </c>
      <c r="F178" s="10">
        <v>3280500</v>
      </c>
      <c r="G178" s="10">
        <v>15031100</v>
      </c>
      <c r="H178" s="10">
        <v>12638240</v>
      </c>
      <c r="I178" s="11">
        <v>45237800</v>
      </c>
      <c r="J178" s="221"/>
      <c r="K178" s="175">
        <f t="shared" si="28"/>
        <v>0.70069304540472865</v>
      </c>
      <c r="L178" s="175">
        <f t="shared" si="29"/>
        <v>8.1615069251130684E-2</v>
      </c>
      <c r="M178" s="175">
        <f t="shared" si="30"/>
        <v>2.1692705718479147E-2</v>
      </c>
      <c r="N178" s="175">
        <f t="shared" si="31"/>
        <v>7.0084323372763997E-3</v>
      </c>
      <c r="O178" s="175">
        <f t="shared" si="32"/>
        <v>3.2112314374282976E-2</v>
      </c>
      <c r="P178" s="175">
        <f t="shared" si="33"/>
        <v>2.7000228593891201E-2</v>
      </c>
      <c r="Q178" s="175">
        <f t="shared" si="34"/>
        <v>9.6645651695547119E-2</v>
      </c>
    </row>
    <row r="179" spans="1:17" x14ac:dyDescent="0.3">
      <c r="A179" s="220">
        <v>40817</v>
      </c>
      <c r="B179" s="222">
        <v>450320637</v>
      </c>
      <c r="C179" s="9">
        <v>309075400</v>
      </c>
      <c r="D179" s="10">
        <v>36608350</v>
      </c>
      <c r="E179" s="10">
        <v>9910900</v>
      </c>
      <c r="F179" s="10">
        <v>3553000</v>
      </c>
      <c r="G179" s="10">
        <v>12529450</v>
      </c>
      <c r="H179" s="10">
        <v>12765880</v>
      </c>
      <c r="I179" s="11">
        <v>48177400</v>
      </c>
      <c r="J179" s="221"/>
      <c r="K179" s="175">
        <f t="shared" si="28"/>
        <v>0.68634518297681302</v>
      </c>
      <c r="L179" s="175">
        <f t="shared" si="29"/>
        <v>8.129396477115039E-2</v>
      </c>
      <c r="M179" s="175">
        <f t="shared" si="30"/>
        <v>2.20085405501858E-2</v>
      </c>
      <c r="N179" s="175">
        <f t="shared" si="31"/>
        <v>7.8899337673480861E-3</v>
      </c>
      <c r="O179" s="175">
        <f t="shared" si="32"/>
        <v>2.7823397309681811E-2</v>
      </c>
      <c r="P179" s="175">
        <f t="shared" si="33"/>
        <v>2.8348423214723778E-2</v>
      </c>
      <c r="Q179" s="175">
        <f t="shared" si="34"/>
        <v>0.10698465946609505</v>
      </c>
    </row>
    <row r="180" spans="1:17" x14ac:dyDescent="0.3">
      <c r="A180" s="220">
        <v>40848</v>
      </c>
      <c r="B180" s="222">
        <v>447401900</v>
      </c>
      <c r="C180" s="9">
        <v>316960300</v>
      </c>
      <c r="D180" s="10">
        <v>40509100</v>
      </c>
      <c r="E180" s="10">
        <v>8955700</v>
      </c>
      <c r="F180" s="10">
        <v>3333400</v>
      </c>
      <c r="G180" s="10">
        <v>13700150</v>
      </c>
      <c r="H180" s="10">
        <v>12881880</v>
      </c>
      <c r="I180" s="11">
        <v>42155300</v>
      </c>
      <c r="J180" s="221"/>
      <c r="K180" s="175">
        <f t="shared" si="28"/>
        <v>0.70844647731715038</v>
      </c>
      <c r="L180" s="175">
        <f t="shared" si="29"/>
        <v>9.0542977130852589E-2</v>
      </c>
      <c r="M180" s="175">
        <f t="shared" si="30"/>
        <v>2.0017125541934445E-2</v>
      </c>
      <c r="N180" s="175">
        <f t="shared" si="31"/>
        <v>7.4505718460292636E-3</v>
      </c>
      <c r="O180" s="175">
        <f t="shared" si="32"/>
        <v>3.0621573131450718E-2</v>
      </c>
      <c r="P180" s="175">
        <f t="shared" si="33"/>
        <v>2.8792635882860577E-2</v>
      </c>
      <c r="Q180" s="175">
        <f t="shared" si="34"/>
        <v>9.4222442953416155E-2</v>
      </c>
    </row>
    <row r="181" spans="1:17" x14ac:dyDescent="0.3">
      <c r="A181" s="220">
        <v>40878</v>
      </c>
      <c r="B181" s="222">
        <v>566686828</v>
      </c>
      <c r="C181" s="9">
        <v>421336110</v>
      </c>
      <c r="D181" s="10">
        <v>55628509</v>
      </c>
      <c r="E181" s="10">
        <v>14377813</v>
      </c>
      <c r="F181" s="10">
        <v>4329081</v>
      </c>
      <c r="G181" s="10">
        <v>15800658</v>
      </c>
      <c r="H181" s="10">
        <v>14662602</v>
      </c>
      <c r="I181" s="11">
        <v>50737951</v>
      </c>
      <c r="J181" s="221"/>
      <c r="K181" s="175">
        <f t="shared" si="28"/>
        <v>0.74350785862981095</v>
      </c>
      <c r="L181" s="175">
        <f t="shared" si="29"/>
        <v>9.8164464482664845E-2</v>
      </c>
      <c r="M181" s="175">
        <f t="shared" si="30"/>
        <v>2.5371708480931905E-2</v>
      </c>
      <c r="N181" s="175">
        <f t="shared" si="31"/>
        <v>7.6392829091838357E-3</v>
      </c>
      <c r="O181" s="175">
        <f t="shared" si="32"/>
        <v>2.7882522090314051E-2</v>
      </c>
      <c r="P181" s="175">
        <f t="shared" si="33"/>
        <v>2.5874259424289989E-2</v>
      </c>
      <c r="Q181" s="175">
        <f t="shared" si="34"/>
        <v>8.9534375060505197E-2</v>
      </c>
    </row>
    <row r="182" spans="1:17" x14ac:dyDescent="0.3">
      <c r="A182" s="220">
        <v>40909</v>
      </c>
      <c r="B182" s="222">
        <v>427503212</v>
      </c>
      <c r="C182" s="9">
        <v>293769931</v>
      </c>
      <c r="D182" s="10">
        <v>46836017</v>
      </c>
      <c r="E182" s="10">
        <v>9124251</v>
      </c>
      <c r="F182" s="10">
        <v>2325000</v>
      </c>
      <c r="G182" s="10">
        <v>13404300</v>
      </c>
      <c r="H182" s="10">
        <v>12089400</v>
      </c>
      <c r="I182" s="11">
        <v>50706639</v>
      </c>
      <c r="J182" s="221"/>
      <c r="K182" s="175">
        <f t="shared" si="28"/>
        <v>0.68717596208376563</v>
      </c>
      <c r="L182" s="175">
        <f t="shared" si="29"/>
        <v>0.10955711135101366</v>
      </c>
      <c r="M182" s="175">
        <f t="shared" si="30"/>
        <v>2.134311683253505E-2</v>
      </c>
      <c r="N182" s="175">
        <f t="shared" si="31"/>
        <v>5.4385556289106903E-3</v>
      </c>
      <c r="O182" s="175">
        <f t="shared" si="32"/>
        <v>3.1354852136175296E-2</v>
      </c>
      <c r="P182" s="175">
        <f t="shared" si="33"/>
        <v>2.8279085772108772E-2</v>
      </c>
      <c r="Q182" s="175">
        <f t="shared" si="34"/>
        <v>0.11861112987380315</v>
      </c>
    </row>
    <row r="183" spans="1:17" x14ac:dyDescent="0.3">
      <c r="A183" s="220">
        <v>40940</v>
      </c>
      <c r="B183" s="222">
        <v>425148789</v>
      </c>
      <c r="C183" s="9">
        <v>304896648</v>
      </c>
      <c r="D183" s="10">
        <v>39632466</v>
      </c>
      <c r="E183" s="10">
        <v>12263483</v>
      </c>
      <c r="F183" s="10">
        <v>4890436</v>
      </c>
      <c r="G183" s="10">
        <v>13631296</v>
      </c>
      <c r="H183" s="10">
        <v>13712350</v>
      </c>
      <c r="I183" s="11">
        <v>42673795</v>
      </c>
      <c r="J183" s="221"/>
      <c r="K183" s="175">
        <f t="shared" si="28"/>
        <v>0.71715280835481809</v>
      </c>
      <c r="L183" s="175">
        <f t="shared" si="29"/>
        <v>9.3220225543203888E-2</v>
      </c>
      <c r="M183" s="175">
        <f t="shared" si="30"/>
        <v>2.8845155666196665E-2</v>
      </c>
      <c r="N183" s="175">
        <f t="shared" si="31"/>
        <v>1.1502881171325646E-2</v>
      </c>
      <c r="O183" s="175">
        <f t="shared" si="32"/>
        <v>3.206241286035981E-2</v>
      </c>
      <c r="P183" s="175">
        <f t="shared" si="33"/>
        <v>3.2253061409990277E-2</v>
      </c>
      <c r="Q183" s="175">
        <f t="shared" si="34"/>
        <v>0.10037378937471229</v>
      </c>
    </row>
    <row r="184" spans="1:17" x14ac:dyDescent="0.3">
      <c r="A184" s="220">
        <v>40969</v>
      </c>
      <c r="B184" s="222">
        <v>511247657</v>
      </c>
      <c r="C184" s="9">
        <v>370665100</v>
      </c>
      <c r="D184" s="10">
        <v>51481550</v>
      </c>
      <c r="E184" s="10">
        <v>11948350</v>
      </c>
      <c r="F184" s="10">
        <v>4001391</v>
      </c>
      <c r="G184" s="10">
        <v>17335950</v>
      </c>
      <c r="H184" s="10">
        <v>14199560</v>
      </c>
      <c r="I184" s="11">
        <v>51024900</v>
      </c>
      <c r="J184" s="221"/>
      <c r="K184" s="175">
        <f t="shared" si="28"/>
        <v>0.72502063319969401</v>
      </c>
      <c r="L184" s="175">
        <f t="shared" si="29"/>
        <v>0.10069786979972409</v>
      </c>
      <c r="M184" s="175">
        <f t="shared" si="30"/>
        <v>2.3370962852158363E-2</v>
      </c>
      <c r="N184" s="175">
        <f t="shared" si="31"/>
        <v>7.8267175315387318E-3</v>
      </c>
      <c r="O184" s="175">
        <f t="shared" si="32"/>
        <v>3.3909104056783969E-2</v>
      </c>
      <c r="P184" s="175">
        <f t="shared" si="33"/>
        <v>2.777432777555008E-2</v>
      </c>
      <c r="Q184" s="175">
        <f t="shared" si="34"/>
        <v>9.9804662772273595E-2</v>
      </c>
    </row>
    <row r="185" spans="1:17" x14ac:dyDescent="0.3">
      <c r="A185" s="220">
        <v>41000</v>
      </c>
      <c r="B185" s="222">
        <v>459658975</v>
      </c>
      <c r="C185" s="9">
        <v>328790918</v>
      </c>
      <c r="D185" s="10">
        <v>55626591</v>
      </c>
      <c r="E185" s="10">
        <v>10439552</v>
      </c>
      <c r="F185" s="10">
        <v>3996913</v>
      </c>
      <c r="G185" s="10">
        <v>15863073</v>
      </c>
      <c r="H185" s="10">
        <v>16434424</v>
      </c>
      <c r="I185" s="11">
        <v>53153428</v>
      </c>
      <c r="J185" s="221"/>
      <c r="K185" s="175">
        <f t="shared" si="28"/>
        <v>0.71529315401706228</v>
      </c>
      <c r="L185" s="175">
        <f t="shared" si="29"/>
        <v>0.12101708881024242</v>
      </c>
      <c r="M185" s="175">
        <f t="shared" si="30"/>
        <v>2.2711515640481076E-2</v>
      </c>
      <c r="N185" s="175">
        <f t="shared" si="31"/>
        <v>8.6953877056354656E-3</v>
      </c>
      <c r="O185" s="175">
        <f t="shared" si="32"/>
        <v>3.4510525982876759E-2</v>
      </c>
      <c r="P185" s="175">
        <f t="shared" si="33"/>
        <v>3.5753514874804743E-2</v>
      </c>
      <c r="Q185" s="175">
        <f t="shared" si="34"/>
        <v>0.11563665867722914</v>
      </c>
    </row>
    <row r="186" spans="1:17" x14ac:dyDescent="0.3">
      <c r="A186" s="220">
        <v>41030</v>
      </c>
      <c r="B186" s="222">
        <v>500596760</v>
      </c>
      <c r="C186" s="9">
        <v>325909800</v>
      </c>
      <c r="D186" s="10">
        <v>46879680</v>
      </c>
      <c r="E186" s="10">
        <v>14433900</v>
      </c>
      <c r="F186" s="10">
        <v>5807934</v>
      </c>
      <c r="G186" s="10">
        <v>15371450</v>
      </c>
      <c r="H186" s="10">
        <v>13547200</v>
      </c>
      <c r="I186" s="11">
        <v>52703242</v>
      </c>
      <c r="J186" s="221"/>
      <c r="K186" s="175">
        <f t="shared" ref="K186:K217" si="35">C186/$B186</f>
        <v>0.65104256767462898</v>
      </c>
      <c r="L186" s="175">
        <f t="shared" ref="L186:L217" si="36">D186/$B186</f>
        <v>9.3647589728706987E-2</v>
      </c>
      <c r="M186" s="175">
        <f t="shared" ref="M186:M217" si="37">E186/$B186</f>
        <v>2.8833386776214852E-2</v>
      </c>
      <c r="N186" s="175">
        <f t="shared" ref="N186:N217" si="38">F186/$B186</f>
        <v>1.1602020756187076E-2</v>
      </c>
      <c r="O186" s="175">
        <f t="shared" ref="O186:O217" si="39">G186/$B186</f>
        <v>3.0706251474739869E-2</v>
      </c>
      <c r="P186" s="175">
        <f t="shared" ref="P186:P217" si="40">H186/$B186</f>
        <v>2.7062100841403768E-2</v>
      </c>
      <c r="Q186" s="175">
        <f t="shared" ref="Q186:Q217" si="41">I186/$B186</f>
        <v>0.10528082922470373</v>
      </c>
    </row>
    <row r="187" spans="1:17" x14ac:dyDescent="0.3">
      <c r="A187" s="220">
        <v>41061</v>
      </c>
      <c r="B187" s="222">
        <v>524159200</v>
      </c>
      <c r="C187" s="9">
        <v>358294100</v>
      </c>
      <c r="D187" s="10">
        <v>60532439</v>
      </c>
      <c r="E187" s="10">
        <v>14301000</v>
      </c>
      <c r="F187" s="10">
        <v>6717200</v>
      </c>
      <c r="G187" s="10">
        <v>16993600</v>
      </c>
      <c r="H187" s="10">
        <v>24672313</v>
      </c>
      <c r="I187" s="11">
        <v>62587100</v>
      </c>
      <c r="J187" s="221"/>
      <c r="K187" s="175">
        <f t="shared" si="35"/>
        <v>0.68355968949891555</v>
      </c>
      <c r="L187" s="175">
        <f t="shared" si="36"/>
        <v>0.11548483552325324</v>
      </c>
      <c r="M187" s="175">
        <f t="shared" si="37"/>
        <v>2.7283695487935727E-2</v>
      </c>
      <c r="N187" s="175">
        <f t="shared" si="38"/>
        <v>1.2815190499374999E-2</v>
      </c>
      <c r="O187" s="175">
        <f t="shared" si="39"/>
        <v>3.2420684402753974E-2</v>
      </c>
      <c r="P187" s="175">
        <f t="shared" si="40"/>
        <v>4.7070266056572128E-2</v>
      </c>
      <c r="Q187" s="175">
        <f t="shared" si="41"/>
        <v>0.11940475336500819</v>
      </c>
    </row>
    <row r="188" spans="1:17" x14ac:dyDescent="0.3">
      <c r="A188" s="220">
        <v>41091</v>
      </c>
      <c r="B188" s="222">
        <v>482856338</v>
      </c>
      <c r="C188" s="9">
        <v>321445544</v>
      </c>
      <c r="D188" s="10">
        <v>65949790</v>
      </c>
      <c r="E188" s="10">
        <v>12694000</v>
      </c>
      <c r="F188" s="10">
        <v>6270300</v>
      </c>
      <c r="G188" s="10">
        <v>15590100</v>
      </c>
      <c r="H188" s="10">
        <v>13103257</v>
      </c>
      <c r="I188" s="11">
        <v>50081700</v>
      </c>
      <c r="J188" s="221"/>
      <c r="K188" s="175">
        <f t="shared" si="35"/>
        <v>0.66571673332783299</v>
      </c>
      <c r="L188" s="175">
        <f t="shared" si="36"/>
        <v>0.13658263299010481</v>
      </c>
      <c r="M188" s="175">
        <f t="shared" si="37"/>
        <v>2.6289392933266209E-2</v>
      </c>
      <c r="N188" s="175">
        <f t="shared" si="38"/>
        <v>1.298585004801159E-2</v>
      </c>
      <c r="O188" s="175">
        <f t="shared" si="39"/>
        <v>3.2287243167552666E-2</v>
      </c>
      <c r="P188" s="175">
        <f t="shared" si="40"/>
        <v>2.7136968014697574E-2</v>
      </c>
      <c r="Q188" s="175">
        <f t="shared" si="41"/>
        <v>0.1037196699279942</v>
      </c>
    </row>
    <row r="189" spans="1:17" x14ac:dyDescent="0.3">
      <c r="A189" s="220">
        <v>41122</v>
      </c>
      <c r="B189" s="222">
        <v>455295876</v>
      </c>
      <c r="C189" s="9">
        <v>310059561</v>
      </c>
      <c r="D189" s="10">
        <v>52040307</v>
      </c>
      <c r="E189" s="10">
        <v>16004350</v>
      </c>
      <c r="F189" s="10">
        <v>6721071</v>
      </c>
      <c r="G189" s="10">
        <v>16776202</v>
      </c>
      <c r="H189" s="10">
        <v>10431248</v>
      </c>
      <c r="I189" s="11">
        <v>48628874</v>
      </c>
      <c r="J189" s="221"/>
      <c r="K189" s="175">
        <f t="shared" si="35"/>
        <v>0.68100674164683184</v>
      </c>
      <c r="L189" s="175">
        <f t="shared" si="36"/>
        <v>0.11429997446319939</v>
      </c>
      <c r="M189" s="175">
        <f t="shared" si="37"/>
        <v>3.5151537370832674E-2</v>
      </c>
      <c r="N189" s="175">
        <f t="shared" si="38"/>
        <v>1.4761985237046162E-2</v>
      </c>
      <c r="O189" s="175">
        <f t="shared" si="39"/>
        <v>3.6846812994194574E-2</v>
      </c>
      <c r="P189" s="175">
        <f t="shared" si="40"/>
        <v>2.2910921336788036E-2</v>
      </c>
      <c r="Q189" s="175">
        <f t="shared" si="41"/>
        <v>0.10680719190173381</v>
      </c>
    </row>
    <row r="190" spans="1:17" x14ac:dyDescent="0.3">
      <c r="A190" s="220">
        <v>41153</v>
      </c>
      <c r="B190" s="222">
        <v>502248767</v>
      </c>
      <c r="C190" s="9">
        <v>329624810</v>
      </c>
      <c r="D190" s="10">
        <v>56860682</v>
      </c>
      <c r="E190" s="10">
        <v>15531132</v>
      </c>
      <c r="F190" s="10">
        <v>6796042</v>
      </c>
      <c r="G190" s="10">
        <v>18670488</v>
      </c>
      <c r="H190" s="10">
        <v>12481552</v>
      </c>
      <c r="I190" s="11">
        <v>50106414</v>
      </c>
      <c r="J190" s="221"/>
      <c r="K190" s="175">
        <f t="shared" si="35"/>
        <v>0.65629789789011073</v>
      </c>
      <c r="L190" s="175">
        <f t="shared" si="36"/>
        <v>0.11321218833375453</v>
      </c>
      <c r="M190" s="175">
        <f t="shared" si="37"/>
        <v>3.0923185919936765E-2</v>
      </c>
      <c r="N190" s="175">
        <f t="shared" si="38"/>
        <v>1.3531226847193037E-2</v>
      </c>
      <c r="O190" s="175">
        <f t="shared" si="39"/>
        <v>3.7173785635196993E-2</v>
      </c>
      <c r="P190" s="175">
        <f t="shared" si="40"/>
        <v>2.4851334279134229E-2</v>
      </c>
      <c r="Q190" s="175">
        <f t="shared" si="41"/>
        <v>9.9764135409017338E-2</v>
      </c>
    </row>
    <row r="191" spans="1:17" x14ac:dyDescent="0.3">
      <c r="A191" s="220">
        <v>41183</v>
      </c>
      <c r="B191" s="222">
        <v>492200456</v>
      </c>
      <c r="C191" s="9">
        <v>344557077</v>
      </c>
      <c r="D191" s="10">
        <v>62108751</v>
      </c>
      <c r="E191" s="10">
        <v>14824998</v>
      </c>
      <c r="F191" s="10">
        <v>7057424</v>
      </c>
      <c r="G191" s="10">
        <v>19746182</v>
      </c>
      <c r="H191" s="10">
        <v>21275486</v>
      </c>
      <c r="I191" s="11">
        <v>52613641</v>
      </c>
      <c r="J191" s="221"/>
      <c r="K191" s="175">
        <f t="shared" si="35"/>
        <v>0.7000340466974293</v>
      </c>
      <c r="L191" s="175">
        <f t="shared" si="36"/>
        <v>0.12618588675179934</v>
      </c>
      <c r="M191" s="175">
        <f t="shared" si="37"/>
        <v>3.011983800356333E-2</v>
      </c>
      <c r="N191" s="175">
        <f t="shared" si="38"/>
        <v>1.4338515769274297E-2</v>
      </c>
      <c r="O191" s="175">
        <f t="shared" si="39"/>
        <v>4.011817087792377E-2</v>
      </c>
      <c r="P191" s="175">
        <f t="shared" si="40"/>
        <v>4.322524642277048E-2</v>
      </c>
      <c r="Q191" s="175">
        <f t="shared" si="41"/>
        <v>0.10689474249491553</v>
      </c>
    </row>
    <row r="192" spans="1:17" x14ac:dyDescent="0.3">
      <c r="A192" s="220">
        <v>41214</v>
      </c>
      <c r="B192" s="222">
        <v>485833723</v>
      </c>
      <c r="C192" s="9">
        <v>319877802</v>
      </c>
      <c r="D192" s="10">
        <v>47399628</v>
      </c>
      <c r="E192" s="10">
        <v>8974810</v>
      </c>
      <c r="F192" s="10">
        <v>4232539</v>
      </c>
      <c r="G192" s="10">
        <v>11318572</v>
      </c>
      <c r="H192" s="10">
        <v>11856980</v>
      </c>
      <c r="I192" s="11">
        <v>48213125</v>
      </c>
      <c r="J192" s="221"/>
      <c r="K192" s="175">
        <f t="shared" si="35"/>
        <v>0.6584100420711223</v>
      </c>
      <c r="L192" s="175">
        <f t="shared" si="36"/>
        <v>9.7563478523700592E-2</v>
      </c>
      <c r="M192" s="175">
        <f t="shared" si="37"/>
        <v>1.8473007482026932E-2</v>
      </c>
      <c r="N192" s="175">
        <f t="shared" si="38"/>
        <v>8.7119086214605974E-3</v>
      </c>
      <c r="O192" s="175">
        <f t="shared" si="39"/>
        <v>2.3297213561274337E-2</v>
      </c>
      <c r="P192" s="175">
        <f t="shared" si="40"/>
        <v>2.4405428109814435E-2</v>
      </c>
      <c r="Q192" s="175">
        <f t="shared" si="41"/>
        <v>9.9237913544342415E-2</v>
      </c>
    </row>
    <row r="193" spans="1:17" x14ac:dyDescent="0.3">
      <c r="A193" s="220">
        <v>41244</v>
      </c>
      <c r="B193" s="222">
        <v>596318269</v>
      </c>
      <c r="C193" s="9">
        <v>413348339</v>
      </c>
      <c r="D193" s="10">
        <v>57482805</v>
      </c>
      <c r="E193" s="10">
        <v>15357974</v>
      </c>
      <c r="F193" s="10">
        <v>4689314</v>
      </c>
      <c r="G193" s="10">
        <v>18033961</v>
      </c>
      <c r="H193" s="10">
        <v>15651890</v>
      </c>
      <c r="I193" s="11">
        <v>52297833</v>
      </c>
      <c r="J193" s="221"/>
      <c r="K193" s="175">
        <f t="shared" si="35"/>
        <v>0.6931673243772446</v>
      </c>
      <c r="L193" s="175">
        <f t="shared" si="36"/>
        <v>9.6396183025544702E-2</v>
      </c>
      <c r="M193" s="175">
        <f t="shared" si="37"/>
        <v>2.5754659547416951E-2</v>
      </c>
      <c r="N193" s="175">
        <f t="shared" si="38"/>
        <v>7.8637771870779302E-3</v>
      </c>
      <c r="O193" s="175">
        <f t="shared" si="39"/>
        <v>3.0242174250743943E-2</v>
      </c>
      <c r="P193" s="175">
        <f t="shared" si="40"/>
        <v>2.6247543993994253E-2</v>
      </c>
      <c r="Q193" s="175">
        <f t="shared" si="41"/>
        <v>8.770120876507978E-2</v>
      </c>
    </row>
    <row r="194" spans="1:17" x14ac:dyDescent="0.3">
      <c r="A194" s="220">
        <v>41275</v>
      </c>
      <c r="B194" s="222">
        <v>460733597</v>
      </c>
      <c r="C194" s="9">
        <v>317669200</v>
      </c>
      <c r="D194" s="10">
        <v>52999440</v>
      </c>
      <c r="E194" s="10">
        <v>11654850</v>
      </c>
      <c r="F194" s="10">
        <v>1955350</v>
      </c>
      <c r="G194" s="10">
        <v>14155000</v>
      </c>
      <c r="H194" s="10">
        <v>14513457</v>
      </c>
      <c r="I194" s="11">
        <v>47786300</v>
      </c>
      <c r="J194" s="221"/>
      <c r="K194" s="175">
        <f t="shared" si="35"/>
        <v>0.68948564217686081</v>
      </c>
      <c r="L194" s="175">
        <f t="shared" si="36"/>
        <v>0.11503272247801803</v>
      </c>
      <c r="M194" s="175">
        <f t="shared" si="37"/>
        <v>2.5296288518764132E-2</v>
      </c>
      <c r="N194" s="175">
        <f t="shared" si="38"/>
        <v>4.243992651571272E-3</v>
      </c>
      <c r="O194" s="175">
        <f t="shared" si="39"/>
        <v>3.0722743234199178E-2</v>
      </c>
      <c r="P194" s="175">
        <f t="shared" si="40"/>
        <v>3.1500756824556032E-2</v>
      </c>
      <c r="Q194" s="175">
        <f t="shared" si="41"/>
        <v>0.10371785411603053</v>
      </c>
    </row>
    <row r="195" spans="1:17" x14ac:dyDescent="0.3">
      <c r="A195" s="220">
        <v>41306</v>
      </c>
      <c r="B195" s="222">
        <v>449719576</v>
      </c>
      <c r="C195" s="9">
        <v>318433500</v>
      </c>
      <c r="D195" s="10">
        <v>47281240</v>
      </c>
      <c r="E195" s="10">
        <v>11026050</v>
      </c>
      <c r="F195" s="10">
        <v>1879650</v>
      </c>
      <c r="G195" s="10">
        <v>14670050</v>
      </c>
      <c r="H195" s="10">
        <v>13592486</v>
      </c>
      <c r="I195" s="11">
        <v>42836600</v>
      </c>
      <c r="J195" s="221"/>
      <c r="K195" s="175">
        <f t="shared" si="35"/>
        <v>0.70807124482390782</v>
      </c>
      <c r="L195" s="175">
        <f t="shared" si="36"/>
        <v>0.10513493857781277</v>
      </c>
      <c r="M195" s="175">
        <f t="shared" si="37"/>
        <v>2.4517611837293025E-2</v>
      </c>
      <c r="N195" s="175">
        <f t="shared" si="38"/>
        <v>4.1796045809666957E-3</v>
      </c>
      <c r="O195" s="175">
        <f t="shared" si="39"/>
        <v>3.2620439008863605E-2</v>
      </c>
      <c r="P195" s="175">
        <f t="shared" si="40"/>
        <v>3.0224359190448049E-2</v>
      </c>
      <c r="Q195" s="175">
        <f t="shared" si="41"/>
        <v>9.5251801980708081E-2</v>
      </c>
    </row>
    <row r="196" spans="1:17" x14ac:dyDescent="0.3">
      <c r="A196" s="220">
        <v>41334</v>
      </c>
      <c r="B196" s="222">
        <v>521712680</v>
      </c>
      <c r="C196" s="9">
        <v>382061000</v>
      </c>
      <c r="D196" s="10">
        <v>51649480</v>
      </c>
      <c r="E196" s="10">
        <v>16673050</v>
      </c>
      <c r="F196" s="10">
        <v>2486750</v>
      </c>
      <c r="G196" s="10">
        <v>17763400</v>
      </c>
      <c r="H196" s="10">
        <v>15905000</v>
      </c>
      <c r="I196" s="11">
        <v>51079000</v>
      </c>
      <c r="J196" s="221"/>
      <c r="K196" s="175">
        <f t="shared" si="35"/>
        <v>0.7323207095522386</v>
      </c>
      <c r="L196" s="175">
        <f t="shared" si="36"/>
        <v>9.8999855629347558E-2</v>
      </c>
      <c r="M196" s="175">
        <f t="shared" si="37"/>
        <v>3.195829934591584E-2</v>
      </c>
      <c r="N196" s="175">
        <f t="shared" si="38"/>
        <v>4.7665124796276758E-3</v>
      </c>
      <c r="O196" s="175">
        <f t="shared" si="39"/>
        <v>3.4048242799082439E-2</v>
      </c>
      <c r="P196" s="175">
        <f t="shared" si="40"/>
        <v>3.0486128878447042E-2</v>
      </c>
      <c r="Q196" s="175">
        <f t="shared" si="41"/>
        <v>9.790638019378789E-2</v>
      </c>
    </row>
    <row r="197" spans="1:17" x14ac:dyDescent="0.3">
      <c r="A197" s="220">
        <v>41365</v>
      </c>
      <c r="B197" s="222">
        <v>486663120</v>
      </c>
      <c r="C197" s="9">
        <v>342023200</v>
      </c>
      <c r="D197" s="10">
        <v>46462320</v>
      </c>
      <c r="E197" s="10">
        <v>13305250</v>
      </c>
      <c r="F197" s="10">
        <v>2459850</v>
      </c>
      <c r="G197" s="10">
        <v>16290700</v>
      </c>
      <c r="H197" s="10">
        <v>16082200</v>
      </c>
      <c r="I197" s="11">
        <v>50039600</v>
      </c>
      <c r="J197" s="221"/>
      <c r="K197" s="175">
        <f t="shared" si="35"/>
        <v>0.70279251898109718</v>
      </c>
      <c r="L197" s="175">
        <f t="shared" si="36"/>
        <v>9.5471216310781884E-2</v>
      </c>
      <c r="M197" s="175">
        <f t="shared" si="37"/>
        <v>2.7339754037659564E-2</v>
      </c>
      <c r="N197" s="175">
        <f t="shared" si="38"/>
        <v>5.0545231370727247E-3</v>
      </c>
      <c r="O197" s="175">
        <f t="shared" si="39"/>
        <v>3.3474285045474575E-2</v>
      </c>
      <c r="P197" s="175">
        <f t="shared" si="40"/>
        <v>3.3045857265699523E-2</v>
      </c>
      <c r="Q197" s="175">
        <f t="shared" si="41"/>
        <v>0.10282184522221449</v>
      </c>
    </row>
    <row r="198" spans="1:17" x14ac:dyDescent="0.3">
      <c r="A198" s="220">
        <v>41395</v>
      </c>
      <c r="B198" s="222">
        <v>504101571</v>
      </c>
      <c r="C198" s="9">
        <v>352932300</v>
      </c>
      <c r="D198" s="10">
        <v>49195600</v>
      </c>
      <c r="E198" s="10">
        <v>13785400</v>
      </c>
      <c r="F198" s="10">
        <v>2761250</v>
      </c>
      <c r="G198" s="10">
        <v>15565250</v>
      </c>
      <c r="H198" s="10">
        <v>16031971</v>
      </c>
      <c r="I198" s="11">
        <v>53829800</v>
      </c>
      <c r="J198" s="221"/>
      <c r="K198" s="175">
        <f t="shared" si="35"/>
        <v>0.70012140470000639</v>
      </c>
      <c r="L198" s="175">
        <f t="shared" si="36"/>
        <v>9.7590650039850804E-2</v>
      </c>
      <c r="M198" s="175">
        <f t="shared" si="37"/>
        <v>2.7346472998791744E-2</v>
      </c>
      <c r="N198" s="175">
        <f t="shared" si="38"/>
        <v>5.4775667421992618E-3</v>
      </c>
      <c r="O198" s="175">
        <f t="shared" si="39"/>
        <v>3.087720986293058E-2</v>
      </c>
      <c r="P198" s="175">
        <f t="shared" si="40"/>
        <v>3.180305700733474E-2</v>
      </c>
      <c r="Q198" s="175">
        <f t="shared" si="41"/>
        <v>0.1067836386488865</v>
      </c>
    </row>
    <row r="199" spans="1:17" x14ac:dyDescent="0.3">
      <c r="A199" s="220">
        <v>41426</v>
      </c>
      <c r="B199" s="222">
        <v>537097177</v>
      </c>
      <c r="C199" s="9">
        <v>368237900</v>
      </c>
      <c r="D199" s="10">
        <v>53694520</v>
      </c>
      <c r="E199" s="10">
        <v>16127000</v>
      </c>
      <c r="F199" s="10">
        <v>2740400</v>
      </c>
      <c r="G199" s="10">
        <v>16636700</v>
      </c>
      <c r="H199" s="10">
        <v>16103057</v>
      </c>
      <c r="I199" s="11">
        <v>63557600</v>
      </c>
      <c r="J199" s="221"/>
      <c r="K199" s="175">
        <f t="shared" si="35"/>
        <v>0.68560758791699994</v>
      </c>
      <c r="L199" s="175">
        <f t="shared" si="36"/>
        <v>9.9971704003203127E-2</v>
      </c>
      <c r="M199" s="175">
        <f t="shared" si="37"/>
        <v>3.002622372748014E-2</v>
      </c>
      <c r="N199" s="175">
        <f t="shared" si="38"/>
        <v>5.102242419717652E-3</v>
      </c>
      <c r="O199" s="175">
        <f t="shared" si="39"/>
        <v>3.0975214006756919E-2</v>
      </c>
      <c r="P199" s="175">
        <f t="shared" si="40"/>
        <v>2.9981645202354135E-2</v>
      </c>
      <c r="Q199" s="175">
        <f t="shared" si="41"/>
        <v>0.11833538272348805</v>
      </c>
    </row>
    <row r="200" spans="1:17" x14ac:dyDescent="0.3">
      <c r="A200" s="220">
        <v>41456</v>
      </c>
      <c r="B200" s="222">
        <v>487116664</v>
      </c>
      <c r="C200" s="9">
        <v>332040200</v>
      </c>
      <c r="D200" s="10">
        <v>49432400</v>
      </c>
      <c r="E200" s="10">
        <v>13668100</v>
      </c>
      <c r="F200" s="10">
        <v>2094600</v>
      </c>
      <c r="G200" s="10">
        <v>16593350</v>
      </c>
      <c r="H200" s="10">
        <v>15887914</v>
      </c>
      <c r="I200" s="11">
        <v>57400100</v>
      </c>
      <c r="J200" s="221"/>
      <c r="K200" s="175">
        <f t="shared" si="35"/>
        <v>0.68164409994399211</v>
      </c>
      <c r="L200" s="175">
        <f t="shared" si="36"/>
        <v>0.1014795913448775</v>
      </c>
      <c r="M200" s="175">
        <f t="shared" si="37"/>
        <v>2.8059191996765688E-2</v>
      </c>
      <c r="N200" s="175">
        <f t="shared" si="38"/>
        <v>4.2999966020460349E-3</v>
      </c>
      <c r="O200" s="175">
        <f t="shared" si="39"/>
        <v>3.4064426915191716E-2</v>
      </c>
      <c r="P200" s="175">
        <f t="shared" si="40"/>
        <v>3.2616239956841223E-2</v>
      </c>
      <c r="Q200" s="175">
        <f t="shared" si="41"/>
        <v>0.11783645324028579</v>
      </c>
    </row>
    <row r="201" spans="1:17" x14ac:dyDescent="0.3">
      <c r="A201" s="220">
        <v>41487</v>
      </c>
      <c r="B201" s="222">
        <v>485640821</v>
      </c>
      <c r="C201" s="9">
        <v>335143194</v>
      </c>
      <c r="D201" s="10">
        <v>53537102</v>
      </c>
      <c r="E201" s="10">
        <v>14992437</v>
      </c>
      <c r="F201" s="10">
        <v>2296684</v>
      </c>
      <c r="G201" s="10">
        <v>15070976</v>
      </c>
      <c r="H201" s="10">
        <v>14417123</v>
      </c>
      <c r="I201" s="11">
        <v>50183306</v>
      </c>
      <c r="J201" s="221"/>
      <c r="K201" s="175">
        <f t="shared" si="35"/>
        <v>0.6901050725305482</v>
      </c>
      <c r="L201" s="175">
        <f t="shared" si="36"/>
        <v>0.11024011920941877</v>
      </c>
      <c r="M201" s="175">
        <f t="shared" si="37"/>
        <v>3.0871451393086249E-2</v>
      </c>
      <c r="N201" s="175">
        <f t="shared" si="38"/>
        <v>4.7291823518270512E-3</v>
      </c>
      <c r="O201" s="175">
        <f t="shared" si="39"/>
        <v>3.1033173794918694E-2</v>
      </c>
      <c r="P201" s="175">
        <f t="shared" si="40"/>
        <v>2.9686802213852611E-2</v>
      </c>
      <c r="Q201" s="175">
        <f t="shared" si="41"/>
        <v>0.10333420056548336</v>
      </c>
    </row>
    <row r="202" spans="1:17" x14ac:dyDescent="0.3">
      <c r="A202" s="220">
        <v>41518</v>
      </c>
      <c r="B202" s="222">
        <v>509916670</v>
      </c>
      <c r="C202" s="9">
        <v>353629400</v>
      </c>
      <c r="D202" s="10">
        <v>55887440</v>
      </c>
      <c r="E202" s="10">
        <v>14876851</v>
      </c>
      <c r="F202" s="10">
        <v>2478900</v>
      </c>
      <c r="G202" s="10">
        <v>15869750</v>
      </c>
      <c r="H202" s="10">
        <v>15849629</v>
      </c>
      <c r="I202" s="11">
        <v>51324700</v>
      </c>
      <c r="J202" s="221"/>
      <c r="K202" s="175">
        <f t="shared" si="35"/>
        <v>0.69350429355447429</v>
      </c>
      <c r="L202" s="175">
        <f t="shared" si="36"/>
        <v>0.10960112365026231</v>
      </c>
      <c r="M202" s="175">
        <f t="shared" si="37"/>
        <v>2.9175063054910522E-2</v>
      </c>
      <c r="N202" s="175">
        <f t="shared" si="38"/>
        <v>4.8613825470738186E-3</v>
      </c>
      <c r="O202" s="175">
        <f t="shared" si="39"/>
        <v>3.1122241992990737E-2</v>
      </c>
      <c r="P202" s="175">
        <f t="shared" si="40"/>
        <v>3.1082782604459666E-2</v>
      </c>
      <c r="Q202" s="175">
        <f t="shared" si="41"/>
        <v>0.10065311259582865</v>
      </c>
    </row>
    <row r="203" spans="1:17" x14ac:dyDescent="0.3">
      <c r="A203" s="220">
        <v>41548</v>
      </c>
      <c r="B203" s="222">
        <v>489869847</v>
      </c>
      <c r="C203" s="9">
        <v>333072600</v>
      </c>
      <c r="D203" s="10">
        <v>51498840</v>
      </c>
      <c r="E203" s="10">
        <v>13916450</v>
      </c>
      <c r="F203" s="10">
        <v>1944200</v>
      </c>
      <c r="G203" s="10">
        <v>14535200</v>
      </c>
      <c r="H203" s="10">
        <v>14907657</v>
      </c>
      <c r="I203" s="11">
        <v>54994900</v>
      </c>
      <c r="J203" s="221"/>
      <c r="K203" s="175">
        <f t="shared" si="35"/>
        <v>0.67992059939953808</v>
      </c>
      <c r="L203" s="175">
        <f t="shared" si="36"/>
        <v>0.10512759729014307</v>
      </c>
      <c r="M203" s="175">
        <f t="shared" si="37"/>
        <v>2.8408464177220528E-2</v>
      </c>
      <c r="N203" s="175">
        <f t="shared" si="38"/>
        <v>3.9688092906849191E-3</v>
      </c>
      <c r="O203" s="175">
        <f t="shared" si="39"/>
        <v>2.9671554779324885E-2</v>
      </c>
      <c r="P203" s="175">
        <f t="shared" si="40"/>
        <v>3.0431873060355968E-2</v>
      </c>
      <c r="Q203" s="175">
        <f t="shared" si="41"/>
        <v>0.11226430925845493</v>
      </c>
    </row>
    <row r="204" spans="1:17" x14ac:dyDescent="0.3">
      <c r="A204" s="220">
        <v>41579</v>
      </c>
      <c r="B204" s="222">
        <v>488555547</v>
      </c>
      <c r="C204" s="9">
        <v>349749100</v>
      </c>
      <c r="D204" s="10">
        <v>48767440</v>
      </c>
      <c r="E204" s="10">
        <v>14497400</v>
      </c>
      <c r="F204" s="10">
        <v>1805750</v>
      </c>
      <c r="G204" s="10">
        <v>13156300</v>
      </c>
      <c r="H204" s="10">
        <v>14157457</v>
      </c>
      <c r="I204" s="11">
        <v>46422100</v>
      </c>
      <c r="J204" s="221"/>
      <c r="K204" s="175">
        <f t="shared" si="35"/>
        <v>0.71588400161998367</v>
      </c>
      <c r="L204" s="175">
        <f t="shared" si="36"/>
        <v>9.9819642412124737E-2</v>
      </c>
      <c r="M204" s="175">
        <f t="shared" si="37"/>
        <v>2.967400552306082E-2</v>
      </c>
      <c r="N204" s="175">
        <f t="shared" si="38"/>
        <v>3.6960996780986298E-3</v>
      </c>
      <c r="O204" s="175">
        <f t="shared" si="39"/>
        <v>2.6928974772238129E-2</v>
      </c>
      <c r="P204" s="175">
        <f t="shared" si="40"/>
        <v>2.8978193138803929E-2</v>
      </c>
      <c r="Q204" s="175">
        <f t="shared" si="41"/>
        <v>9.5019082855690107E-2</v>
      </c>
    </row>
    <row r="205" spans="1:17" x14ac:dyDescent="0.3">
      <c r="A205" s="220">
        <v>41609</v>
      </c>
      <c r="B205" s="222">
        <v>596162085</v>
      </c>
      <c r="C205" s="9">
        <v>433521400</v>
      </c>
      <c r="D205" s="10">
        <v>54202720</v>
      </c>
      <c r="E205" s="10">
        <v>16273600</v>
      </c>
      <c r="F205" s="10">
        <v>3412600</v>
      </c>
      <c r="G205" s="10">
        <v>20110700</v>
      </c>
      <c r="H205" s="10">
        <v>17022865</v>
      </c>
      <c r="I205" s="11">
        <v>51618200</v>
      </c>
      <c r="J205" s="221"/>
      <c r="K205" s="175">
        <f t="shared" si="35"/>
        <v>0.72718713737053575</v>
      </c>
      <c r="L205" s="175">
        <f t="shared" si="36"/>
        <v>9.0919435106310051E-2</v>
      </c>
      <c r="M205" s="175">
        <f t="shared" si="37"/>
        <v>2.7297274364571508E-2</v>
      </c>
      <c r="N205" s="175">
        <f t="shared" si="38"/>
        <v>5.7242821807428424E-3</v>
      </c>
      <c r="O205" s="175">
        <f t="shared" si="39"/>
        <v>3.3733611220847767E-2</v>
      </c>
      <c r="P205" s="175">
        <f t="shared" si="40"/>
        <v>2.8554088608301886E-2</v>
      </c>
      <c r="Q205" s="175">
        <f t="shared" si="41"/>
        <v>8.6584171148690214E-2</v>
      </c>
    </row>
    <row r="206" spans="1:17" x14ac:dyDescent="0.3">
      <c r="A206" s="220">
        <v>41640</v>
      </c>
      <c r="B206" s="222">
        <v>453684011</v>
      </c>
      <c r="C206" s="9">
        <v>316115700</v>
      </c>
      <c r="D206" s="10">
        <v>46671560</v>
      </c>
      <c r="E206" s="10">
        <v>14769450</v>
      </c>
      <c r="F206" s="10">
        <v>1961215</v>
      </c>
      <c r="G206" s="10">
        <v>12740700</v>
      </c>
      <c r="H206" s="10">
        <v>13644686</v>
      </c>
      <c r="I206" s="11">
        <v>47780700</v>
      </c>
      <c r="J206" s="221"/>
      <c r="K206" s="175">
        <f t="shared" si="35"/>
        <v>0.69677505121510663</v>
      </c>
      <c r="L206" s="175">
        <f t="shared" si="36"/>
        <v>0.10287239327021379</v>
      </c>
      <c r="M206" s="175">
        <f t="shared" si="37"/>
        <v>3.2554486474948748E-2</v>
      </c>
      <c r="N206" s="175">
        <f t="shared" si="38"/>
        <v>4.3228655902533006E-3</v>
      </c>
      <c r="O206" s="175">
        <f t="shared" si="39"/>
        <v>2.8082761770504627E-2</v>
      </c>
      <c r="P206" s="175">
        <f t="shared" si="40"/>
        <v>3.007530719437234E-2</v>
      </c>
      <c r="Q206" s="175">
        <f t="shared" si="41"/>
        <v>0.10531713448460056</v>
      </c>
    </row>
    <row r="207" spans="1:17" x14ac:dyDescent="0.3">
      <c r="A207" s="220">
        <v>41671</v>
      </c>
      <c r="B207" s="222">
        <v>474624921</v>
      </c>
      <c r="C207" s="9">
        <v>331447700</v>
      </c>
      <c r="D207" s="10">
        <v>49705600</v>
      </c>
      <c r="E207" s="10">
        <v>14978750</v>
      </c>
      <c r="F207" s="10">
        <v>3014800</v>
      </c>
      <c r="G207" s="10">
        <v>14851400</v>
      </c>
      <c r="H207" s="10">
        <v>14497171</v>
      </c>
      <c r="I207" s="11">
        <v>46129500</v>
      </c>
      <c r="J207" s="221"/>
      <c r="K207" s="175">
        <f t="shared" si="35"/>
        <v>0.69833606566984285</v>
      </c>
      <c r="L207" s="175">
        <f t="shared" si="36"/>
        <v>0.10472606431047475</v>
      </c>
      <c r="M207" s="175">
        <f t="shared" si="37"/>
        <v>3.1559130878422624E-2</v>
      </c>
      <c r="N207" s="175">
        <f t="shared" si="38"/>
        <v>6.3519631325890703E-3</v>
      </c>
      <c r="O207" s="175">
        <f t="shared" si="39"/>
        <v>3.1290813741320589E-2</v>
      </c>
      <c r="P207" s="175">
        <f t="shared" si="40"/>
        <v>3.0544479142510093E-2</v>
      </c>
      <c r="Q207" s="175">
        <f t="shared" si="41"/>
        <v>9.7191483124839967E-2</v>
      </c>
    </row>
    <row r="208" spans="1:17" x14ac:dyDescent="0.3">
      <c r="A208" s="220">
        <v>41699</v>
      </c>
      <c r="B208" s="222">
        <v>549443586</v>
      </c>
      <c r="C208" s="9">
        <v>383367300</v>
      </c>
      <c r="D208" s="10">
        <v>54399800</v>
      </c>
      <c r="E208" s="10">
        <v>16408600</v>
      </c>
      <c r="F208" s="10">
        <v>3413200</v>
      </c>
      <c r="G208" s="10">
        <v>18684800</v>
      </c>
      <c r="H208" s="10">
        <v>18203086</v>
      </c>
      <c r="I208" s="11">
        <v>54966800</v>
      </c>
      <c r="J208" s="221"/>
      <c r="K208" s="175">
        <f t="shared" si="35"/>
        <v>0.69773732876008132</v>
      </c>
      <c r="L208" s="175">
        <f t="shared" si="36"/>
        <v>9.9008890787197212E-2</v>
      </c>
      <c r="M208" s="175">
        <f t="shared" si="37"/>
        <v>2.9864030481193023E-2</v>
      </c>
      <c r="N208" s="175">
        <f t="shared" si="38"/>
        <v>6.2121027289596936E-3</v>
      </c>
      <c r="O208" s="175">
        <f t="shared" si="39"/>
        <v>3.4006766984081241E-2</v>
      </c>
      <c r="P208" s="175">
        <f t="shared" si="40"/>
        <v>3.3130036392853626E-2</v>
      </c>
      <c r="Q208" s="175">
        <f t="shared" si="41"/>
        <v>0.10004084386563392</v>
      </c>
    </row>
    <row r="209" spans="1:26" x14ac:dyDescent="0.3">
      <c r="A209" s="220">
        <v>41730</v>
      </c>
      <c r="B209" s="222">
        <v>521785479</v>
      </c>
      <c r="C209" s="9">
        <v>352836200</v>
      </c>
      <c r="D209" s="10">
        <v>62114400</v>
      </c>
      <c r="E209" s="10">
        <v>14048950</v>
      </c>
      <c r="F209" s="10">
        <v>3112350</v>
      </c>
      <c r="G209" s="10">
        <v>15346550</v>
      </c>
      <c r="H209" s="10">
        <v>17618229</v>
      </c>
      <c r="I209" s="11">
        <v>56708800</v>
      </c>
      <c r="J209" s="221"/>
      <c r="K209" s="175">
        <f t="shared" si="35"/>
        <v>0.67620931244811433</v>
      </c>
      <c r="L209" s="175">
        <f t="shared" si="36"/>
        <v>0.11904202493147571</v>
      </c>
      <c r="M209" s="175">
        <f t="shared" si="37"/>
        <v>2.6924762312137859E-2</v>
      </c>
      <c r="N209" s="175">
        <f t="shared" si="38"/>
        <v>5.9648076178064743E-3</v>
      </c>
      <c r="O209" s="175">
        <f t="shared" si="39"/>
        <v>2.9411608060484182E-2</v>
      </c>
      <c r="P209" s="175">
        <f t="shared" si="40"/>
        <v>3.37652727204392E-2</v>
      </c>
      <c r="Q209" s="175">
        <f t="shared" si="41"/>
        <v>0.10868221190954223</v>
      </c>
    </row>
    <row r="210" spans="1:26" x14ac:dyDescent="0.3">
      <c r="A210" s="220">
        <v>41760</v>
      </c>
      <c r="B210" s="222">
        <v>534881869</v>
      </c>
      <c r="C210" s="9">
        <v>360968900</v>
      </c>
      <c r="D210" s="10">
        <v>56146640</v>
      </c>
      <c r="E210" s="10">
        <v>15057600</v>
      </c>
      <c r="F210" s="10">
        <v>3335550</v>
      </c>
      <c r="G210" s="10">
        <v>16454050</v>
      </c>
      <c r="H210" s="10">
        <v>18968229</v>
      </c>
      <c r="I210" s="11">
        <v>63950900</v>
      </c>
      <c r="J210" s="221"/>
      <c r="K210" s="175">
        <f t="shared" si="35"/>
        <v>0.67485723656114427</v>
      </c>
      <c r="L210" s="175">
        <f t="shared" si="36"/>
        <v>0.10497016865606264</v>
      </c>
      <c r="M210" s="175">
        <f t="shared" si="37"/>
        <v>2.8151262685630497E-2</v>
      </c>
      <c r="N210" s="175">
        <f t="shared" si="38"/>
        <v>6.236049851972081E-3</v>
      </c>
      <c r="O210" s="175">
        <f t="shared" si="39"/>
        <v>3.076202607271401E-2</v>
      </c>
      <c r="P210" s="175">
        <f t="shared" si="40"/>
        <v>3.5462463955756182E-2</v>
      </c>
      <c r="Q210" s="175">
        <f t="shared" si="41"/>
        <v>0.11956079221672029</v>
      </c>
    </row>
    <row r="211" spans="1:26" x14ac:dyDescent="0.3">
      <c r="A211" s="220">
        <v>41791</v>
      </c>
      <c r="B211" s="222">
        <v>565275974</v>
      </c>
      <c r="C211" s="9">
        <v>386036000</v>
      </c>
      <c r="D211" s="10">
        <v>59994560</v>
      </c>
      <c r="E211" s="10">
        <v>17781750</v>
      </c>
      <c r="F211" s="10">
        <v>3328800</v>
      </c>
      <c r="G211" s="10">
        <v>18413550</v>
      </c>
      <c r="H211" s="10">
        <v>20841314</v>
      </c>
      <c r="I211" s="11">
        <v>58880000</v>
      </c>
      <c r="J211" s="221"/>
      <c r="K211" s="175">
        <f t="shared" si="35"/>
        <v>0.68291598751019977</v>
      </c>
      <c r="L211" s="175">
        <f t="shared" si="36"/>
        <v>0.1061332212219584</v>
      </c>
      <c r="M211" s="175">
        <f t="shared" si="37"/>
        <v>3.1456758853862059E-2</v>
      </c>
      <c r="N211" s="175">
        <f t="shared" si="38"/>
        <v>5.8888050317171276E-3</v>
      </c>
      <c r="O211" s="175">
        <f t="shared" si="39"/>
        <v>3.2574443010026106E-2</v>
      </c>
      <c r="P211" s="175">
        <f t="shared" si="40"/>
        <v>3.6869272636023978E-2</v>
      </c>
      <c r="Q211" s="175">
        <f t="shared" si="41"/>
        <v>0.10416151173621259</v>
      </c>
    </row>
    <row r="212" spans="1:26" x14ac:dyDescent="0.3">
      <c r="A212" s="220">
        <v>41821</v>
      </c>
      <c r="B212" s="222">
        <v>535751470</v>
      </c>
      <c r="C212" s="9">
        <v>356577900</v>
      </c>
      <c r="D212" s="10">
        <v>64271120</v>
      </c>
      <c r="E212" s="10">
        <v>16389250</v>
      </c>
      <c r="F212" s="10">
        <v>3532150</v>
      </c>
      <c r="G212" s="10">
        <v>19446350</v>
      </c>
      <c r="H212" s="10">
        <v>18528800</v>
      </c>
      <c r="I212" s="11">
        <v>57005900</v>
      </c>
      <c r="J212" s="221"/>
      <c r="K212" s="175">
        <f t="shared" si="35"/>
        <v>0.66556588262837613</v>
      </c>
      <c r="L212" s="175">
        <f t="shared" si="36"/>
        <v>0.1199644305222345</v>
      </c>
      <c r="M212" s="175">
        <f t="shared" si="37"/>
        <v>3.0591143315015074E-2</v>
      </c>
      <c r="N212" s="175">
        <f t="shared" si="38"/>
        <v>6.5928890498424576E-3</v>
      </c>
      <c r="O212" s="175">
        <f t="shared" si="39"/>
        <v>3.6297333911188334E-2</v>
      </c>
      <c r="P212" s="175">
        <f t="shared" si="40"/>
        <v>3.458469278675054E-2</v>
      </c>
      <c r="Q212" s="175">
        <f t="shared" si="41"/>
        <v>0.10640362778659292</v>
      </c>
    </row>
    <row r="213" spans="1:26" x14ac:dyDescent="0.3">
      <c r="A213" s="220">
        <v>41852</v>
      </c>
      <c r="B213" s="222">
        <v>530309726</v>
      </c>
      <c r="C213" s="9">
        <v>362622700</v>
      </c>
      <c r="D213" s="10">
        <v>51368240</v>
      </c>
      <c r="E213" s="10">
        <v>14151950</v>
      </c>
      <c r="F213" s="10">
        <v>3102400</v>
      </c>
      <c r="G213" s="10">
        <v>23835750</v>
      </c>
      <c r="H213" s="10">
        <v>18831086</v>
      </c>
      <c r="I213" s="11">
        <v>56397600</v>
      </c>
      <c r="J213" s="221"/>
      <c r="K213" s="175">
        <f t="shared" si="35"/>
        <v>0.683794172011848</v>
      </c>
      <c r="L213" s="175">
        <f t="shared" si="36"/>
        <v>9.686460097094278E-2</v>
      </c>
      <c r="M213" s="175">
        <f t="shared" si="37"/>
        <v>2.668619734121188E-2</v>
      </c>
      <c r="N213" s="175">
        <f t="shared" si="38"/>
        <v>5.8501661347994966E-3</v>
      </c>
      <c r="O213" s="175">
        <f t="shared" si="39"/>
        <v>4.4946846779121676E-2</v>
      </c>
      <c r="P213" s="175">
        <f t="shared" si="40"/>
        <v>3.5509599535423195E-2</v>
      </c>
      <c r="Q213" s="175">
        <f t="shared" si="41"/>
        <v>0.10634841722665293</v>
      </c>
    </row>
    <row r="214" spans="1:26" x14ac:dyDescent="0.3">
      <c r="A214" s="220">
        <v>41883</v>
      </c>
      <c r="B214" s="222">
        <v>539108837</v>
      </c>
      <c r="C214" s="9">
        <v>372903200</v>
      </c>
      <c r="D214" s="10">
        <v>55285480</v>
      </c>
      <c r="E214" s="10">
        <v>15005050</v>
      </c>
      <c r="F214" s="10">
        <v>3245500</v>
      </c>
      <c r="G214" s="10">
        <v>17967550</v>
      </c>
      <c r="H214" s="10">
        <v>18764857</v>
      </c>
      <c r="I214" s="11">
        <v>55937200</v>
      </c>
      <c r="J214" s="221"/>
      <c r="K214" s="175">
        <f t="shared" si="35"/>
        <v>0.69170300022368214</v>
      </c>
      <c r="L214" s="175">
        <f t="shared" si="36"/>
        <v>0.10254975657169574</v>
      </c>
      <c r="M214" s="175">
        <f t="shared" si="37"/>
        <v>2.7833062584355299E-2</v>
      </c>
      <c r="N214" s="175">
        <f t="shared" si="38"/>
        <v>6.0201202007007723E-3</v>
      </c>
      <c r="O214" s="175">
        <f t="shared" si="39"/>
        <v>3.3328242400893902E-2</v>
      </c>
      <c r="P214" s="175">
        <f t="shared" si="40"/>
        <v>3.4807177534728485E-2</v>
      </c>
      <c r="Q214" s="175">
        <f t="shared" si="41"/>
        <v>0.10375864048394369</v>
      </c>
    </row>
    <row r="215" spans="1:26" x14ac:dyDescent="0.3">
      <c r="A215" s="220">
        <v>41913</v>
      </c>
      <c r="B215" s="222">
        <v>534801784</v>
      </c>
      <c r="C215" s="9">
        <v>375695200</v>
      </c>
      <c r="D215" s="10">
        <v>54250120</v>
      </c>
      <c r="E215" s="10">
        <v>16983650</v>
      </c>
      <c r="F215" s="10">
        <v>2817650</v>
      </c>
      <c r="G215" s="10">
        <v>17752450</v>
      </c>
      <c r="H215" s="10">
        <v>17873114</v>
      </c>
      <c r="I215" s="11">
        <v>49429600</v>
      </c>
      <c r="J215" s="221"/>
      <c r="K215" s="175">
        <f t="shared" si="35"/>
        <v>0.70249429085674109</v>
      </c>
      <c r="L215" s="175">
        <f t="shared" si="36"/>
        <v>0.10143967657370417</v>
      </c>
      <c r="M215" s="175">
        <f t="shared" si="37"/>
        <v>3.1756906031562525E-2</v>
      </c>
      <c r="N215" s="175">
        <f t="shared" si="38"/>
        <v>5.2685875109197465E-3</v>
      </c>
      <c r="O215" s="175">
        <f t="shared" si="39"/>
        <v>3.3194447982619293E-2</v>
      </c>
      <c r="P215" s="175">
        <f t="shared" si="40"/>
        <v>3.3420071762513041E-2</v>
      </c>
      <c r="Q215" s="175">
        <f t="shared" si="41"/>
        <v>9.2426019281940164E-2</v>
      </c>
    </row>
    <row r="216" spans="1:26" x14ac:dyDescent="0.3">
      <c r="A216" s="220">
        <v>41944</v>
      </c>
      <c r="B216" s="222">
        <v>501958553</v>
      </c>
      <c r="C216" s="9">
        <v>358367503</v>
      </c>
      <c r="D216" s="10">
        <v>48228505</v>
      </c>
      <c r="E216" s="10">
        <v>13338150</v>
      </c>
      <c r="F216" s="10">
        <v>2949300</v>
      </c>
      <c r="G216" s="10">
        <v>17040139</v>
      </c>
      <c r="H216" s="10">
        <v>17115514</v>
      </c>
      <c r="I216" s="11">
        <v>44919442</v>
      </c>
      <c r="J216" s="221"/>
      <c r="K216" s="175">
        <f t="shared" si="35"/>
        <v>0.71393843347859043</v>
      </c>
      <c r="L216" s="175">
        <f t="shared" si="36"/>
        <v>9.6080651901950961E-2</v>
      </c>
      <c r="M216" s="175">
        <f t="shared" si="37"/>
        <v>2.6572213821805322E-2</v>
      </c>
      <c r="N216" s="175">
        <f t="shared" si="38"/>
        <v>5.8755847118716195E-3</v>
      </c>
      <c r="O216" s="175">
        <f t="shared" si="39"/>
        <v>3.3947302816453855E-2</v>
      </c>
      <c r="P216" s="175">
        <f t="shared" si="40"/>
        <v>3.4097464616764883E-2</v>
      </c>
      <c r="Q216" s="175">
        <f t="shared" si="41"/>
        <v>8.9488348652562957E-2</v>
      </c>
    </row>
    <row r="217" spans="1:26" x14ac:dyDescent="0.3">
      <c r="A217" s="220">
        <v>41974</v>
      </c>
      <c r="B217" s="222">
        <v>669917040</v>
      </c>
      <c r="C217" s="9">
        <v>475503200</v>
      </c>
      <c r="D217" s="10">
        <v>57498640</v>
      </c>
      <c r="E217" s="10">
        <v>17948700</v>
      </c>
      <c r="F217" s="10">
        <v>6951200</v>
      </c>
      <c r="G217" s="10">
        <v>18028800</v>
      </c>
      <c r="H217" s="10">
        <v>19282800</v>
      </c>
      <c r="I217" s="11">
        <v>74703700</v>
      </c>
      <c r="J217" s="221"/>
      <c r="K217" s="175">
        <f t="shared" si="35"/>
        <v>0.70979415600474949</v>
      </c>
      <c r="L217" s="175">
        <f t="shared" si="36"/>
        <v>8.5829493156346637E-2</v>
      </c>
      <c r="M217" s="175">
        <f t="shared" si="37"/>
        <v>2.6792421939289678E-2</v>
      </c>
      <c r="N217" s="175">
        <f t="shared" si="38"/>
        <v>1.0376210164769058E-2</v>
      </c>
      <c r="O217" s="175">
        <f t="shared" si="39"/>
        <v>2.6911988982994073E-2</v>
      </c>
      <c r="P217" s="175">
        <f t="shared" si="40"/>
        <v>2.8783862551100357E-2</v>
      </c>
      <c r="Q217" s="175">
        <f t="shared" si="41"/>
        <v>0.11151186720075071</v>
      </c>
    </row>
    <row r="218" spans="1:26" x14ac:dyDescent="0.3">
      <c r="A218" s="220">
        <v>42005</v>
      </c>
      <c r="B218" s="222">
        <v>484198923</v>
      </c>
      <c r="C218" s="9">
        <v>342839300</v>
      </c>
      <c r="D218" s="10">
        <v>42447480</v>
      </c>
      <c r="E218" s="10">
        <v>15520600</v>
      </c>
      <c r="F218" s="10">
        <v>2611450</v>
      </c>
      <c r="G218" s="10">
        <v>15707250</v>
      </c>
      <c r="H218" s="10">
        <v>16474143</v>
      </c>
      <c r="I218" s="11">
        <v>48598700</v>
      </c>
      <c r="J218" s="221"/>
      <c r="K218" s="175">
        <f t="shared" ref="K218:K224" si="42">C218/$B218</f>
        <v>0.70805465215791075</v>
      </c>
      <c r="L218" s="175">
        <f t="shared" ref="L218:L224" si="43">D218/$B218</f>
        <v>8.7665374670814783E-2</v>
      </c>
      <c r="M218" s="175">
        <f t="shared" ref="M218:M224" si="44">E218/$B218</f>
        <v>3.2054181169667739E-2</v>
      </c>
      <c r="N218" s="175">
        <f t="shared" ref="N218:N224" si="45">F218/$B218</f>
        <v>5.3933411991500856E-3</v>
      </c>
      <c r="O218" s="175">
        <f t="shared" ref="O218:O224" si="46">G218/$B218</f>
        <v>3.2439663233203846E-2</v>
      </c>
      <c r="P218" s="175">
        <f t="shared" ref="P218:P224" si="47">H218/$B218</f>
        <v>3.4023501948185868E-2</v>
      </c>
      <c r="Q218" s="175">
        <f t="shared" ref="Q218:Q224" si="48">I218/$B218</f>
        <v>0.10036928562106694</v>
      </c>
    </row>
    <row r="219" spans="1:26" x14ac:dyDescent="0.3">
      <c r="A219" s="220">
        <v>42036</v>
      </c>
      <c r="B219" s="222">
        <v>466272397</v>
      </c>
      <c r="C219" s="9">
        <v>334088700</v>
      </c>
      <c r="D219" s="10">
        <v>41281840</v>
      </c>
      <c r="E219" s="10">
        <v>13276700</v>
      </c>
      <c r="F219" s="10">
        <v>2422000</v>
      </c>
      <c r="G219" s="10">
        <v>15721900</v>
      </c>
      <c r="H219" s="10">
        <v>16267057</v>
      </c>
      <c r="I219" s="11">
        <v>43214200</v>
      </c>
      <c r="J219" s="221"/>
      <c r="K219" s="175">
        <f t="shared" si="42"/>
        <v>0.71650971009549169</v>
      </c>
      <c r="L219" s="175">
        <f t="shared" si="43"/>
        <v>8.85358864595195E-2</v>
      </c>
      <c r="M219" s="175">
        <f t="shared" si="44"/>
        <v>2.8474128182200759E-2</v>
      </c>
      <c r="N219" s="175">
        <f t="shared" si="45"/>
        <v>5.1943885496614547E-3</v>
      </c>
      <c r="O219" s="175">
        <f t="shared" si="46"/>
        <v>3.3718273054881266E-2</v>
      </c>
      <c r="P219" s="175">
        <f t="shared" si="47"/>
        <v>3.488745442505789E-2</v>
      </c>
      <c r="Q219" s="175">
        <f t="shared" si="48"/>
        <v>9.2680159233187467E-2</v>
      </c>
    </row>
    <row r="220" spans="1:26" x14ac:dyDescent="0.3">
      <c r="A220" s="220">
        <v>42064</v>
      </c>
      <c r="B220" s="222">
        <v>555630664</v>
      </c>
      <c r="C220" s="9">
        <v>401946100</v>
      </c>
      <c r="D220" s="10">
        <v>50760600</v>
      </c>
      <c r="E220" s="10">
        <v>16782900</v>
      </c>
      <c r="F220" s="10">
        <v>3273900</v>
      </c>
      <c r="G220" s="10">
        <v>18278350</v>
      </c>
      <c r="H220" s="10">
        <v>18197314</v>
      </c>
      <c r="I220" s="11">
        <v>46391500</v>
      </c>
      <c r="J220" s="221"/>
      <c r="K220" s="175">
        <f t="shared" si="42"/>
        <v>0.72340517909213164</v>
      </c>
      <c r="L220" s="175">
        <f t="shared" si="43"/>
        <v>9.1356729008750318E-2</v>
      </c>
      <c r="M220" s="175">
        <f t="shared" si="44"/>
        <v>3.0205136410541948E-2</v>
      </c>
      <c r="N220" s="175">
        <f t="shared" si="45"/>
        <v>5.8922233996790358E-3</v>
      </c>
      <c r="O220" s="175">
        <f t="shared" si="46"/>
        <v>3.2896582539944194E-2</v>
      </c>
      <c r="P220" s="175">
        <f t="shared" si="47"/>
        <v>3.2750737457499284E-2</v>
      </c>
      <c r="Q220" s="175">
        <f t="shared" si="48"/>
        <v>8.3493412091453612E-2</v>
      </c>
    </row>
    <row r="221" spans="1:26" x14ac:dyDescent="0.3">
      <c r="A221" s="220">
        <v>42095</v>
      </c>
      <c r="B221" s="222">
        <v>494018369</v>
      </c>
      <c r="C221" s="9">
        <v>347001300</v>
      </c>
      <c r="D221" s="10">
        <v>45698840</v>
      </c>
      <c r="E221" s="10">
        <v>17065150</v>
      </c>
      <c r="F221" s="10">
        <v>2485200</v>
      </c>
      <c r="G221" s="10">
        <v>17502550</v>
      </c>
      <c r="H221" s="10">
        <v>17026429</v>
      </c>
      <c r="I221" s="11">
        <v>47238900</v>
      </c>
      <c r="J221" s="221"/>
      <c r="K221" s="175">
        <f t="shared" si="42"/>
        <v>0.70240566297647122</v>
      </c>
      <c r="L221" s="175">
        <f t="shared" si="43"/>
        <v>9.2504333578737843E-2</v>
      </c>
      <c r="M221" s="175">
        <f t="shared" si="44"/>
        <v>3.4543553581911447E-2</v>
      </c>
      <c r="N221" s="175">
        <f t="shared" si="45"/>
        <v>5.0305821725426568E-3</v>
      </c>
      <c r="O221" s="175">
        <f t="shared" si="46"/>
        <v>3.5428945760516854E-2</v>
      </c>
      <c r="P221" s="175">
        <f t="shared" si="47"/>
        <v>3.4465173905304722E-2</v>
      </c>
      <c r="Q221" s="175">
        <f t="shared" si="48"/>
        <v>9.5621748024515257E-2</v>
      </c>
    </row>
    <row r="222" spans="1:26" x14ac:dyDescent="0.3">
      <c r="A222" s="220">
        <v>42125</v>
      </c>
      <c r="B222" s="222">
        <v>484355216</v>
      </c>
      <c r="C222" s="9">
        <v>348657400</v>
      </c>
      <c r="D222" s="10">
        <v>41701080</v>
      </c>
      <c r="E222" s="10">
        <v>13851000</v>
      </c>
      <c r="F222" s="10">
        <v>2544000</v>
      </c>
      <c r="G222" s="10">
        <v>16726650</v>
      </c>
      <c r="H222" s="10">
        <v>16966086</v>
      </c>
      <c r="I222" s="11">
        <v>43909000</v>
      </c>
      <c r="J222" s="221"/>
      <c r="K222" s="175">
        <f t="shared" si="42"/>
        <v>0.71983822715764867</v>
      </c>
      <c r="L222" s="175">
        <f t="shared" si="43"/>
        <v>8.6096068799226058E-2</v>
      </c>
      <c r="M222" s="175">
        <f t="shared" si="44"/>
        <v>2.8596780921215474E-2</v>
      </c>
      <c r="N222" s="175">
        <f t="shared" si="45"/>
        <v>5.252343561011636E-3</v>
      </c>
      <c r="O222" s="175">
        <f t="shared" si="46"/>
        <v>3.4533849223583046E-2</v>
      </c>
      <c r="P222" s="175">
        <f t="shared" si="47"/>
        <v>3.5028188898455055E-2</v>
      </c>
      <c r="Q222" s="175">
        <f t="shared" si="48"/>
        <v>9.0654541438860023E-2</v>
      </c>
      <c r="S222" s="221"/>
      <c r="T222" s="221"/>
      <c r="U222" s="221"/>
      <c r="V222" s="221"/>
      <c r="W222" s="221"/>
      <c r="X222" s="221"/>
      <c r="Y222" s="221"/>
      <c r="Z222" s="221"/>
    </row>
    <row r="223" spans="1:26" x14ac:dyDescent="0.3">
      <c r="A223" s="220">
        <v>42156</v>
      </c>
      <c r="B223" s="222">
        <v>527253741</v>
      </c>
      <c r="C223" s="9">
        <v>381649446</v>
      </c>
      <c r="D223" s="10">
        <v>43249954</v>
      </c>
      <c r="E223" s="10">
        <v>15689293</v>
      </c>
      <c r="F223" s="10">
        <v>2834530</v>
      </c>
      <c r="G223" s="10">
        <v>17011715</v>
      </c>
      <c r="H223" s="10">
        <v>18253419</v>
      </c>
      <c r="I223" s="11">
        <v>48565384</v>
      </c>
      <c r="J223" s="221"/>
      <c r="K223" s="175">
        <f t="shared" si="42"/>
        <v>0.72384397932607558</v>
      </c>
      <c r="L223" s="175">
        <f t="shared" si="43"/>
        <v>8.2028728554815508E-2</v>
      </c>
      <c r="M223" s="175">
        <f t="shared" si="44"/>
        <v>2.9756627179625836E-2</v>
      </c>
      <c r="N223" s="175">
        <f t="shared" si="45"/>
        <v>5.3760263409871186E-3</v>
      </c>
      <c r="O223" s="175">
        <f t="shared" si="46"/>
        <v>3.226475921770653E-2</v>
      </c>
      <c r="P223" s="175">
        <f t="shared" si="47"/>
        <v>3.4619799881135407E-2</v>
      </c>
      <c r="Q223" s="175">
        <f t="shared" si="48"/>
        <v>9.2110079499654038E-2</v>
      </c>
      <c r="S223" s="221"/>
      <c r="T223" s="221"/>
      <c r="U223" s="221"/>
      <c r="V223" s="221"/>
      <c r="W223" s="221"/>
      <c r="X223" s="221"/>
      <c r="Y223" s="221"/>
      <c r="Z223" s="221"/>
    </row>
    <row r="224" spans="1:26" x14ac:dyDescent="0.3">
      <c r="A224" s="220">
        <v>42186</v>
      </c>
      <c r="B224" s="222">
        <v>491097361</v>
      </c>
      <c r="C224" s="9">
        <v>352998644</v>
      </c>
      <c r="D224" s="10">
        <v>44850315</v>
      </c>
      <c r="E224" s="10">
        <v>14748560</v>
      </c>
      <c r="F224" s="10">
        <v>2734451</v>
      </c>
      <c r="G224" s="10">
        <v>17203238</v>
      </c>
      <c r="H224" s="10">
        <v>17306518</v>
      </c>
      <c r="I224" s="11">
        <v>41255636</v>
      </c>
      <c r="J224" s="221"/>
      <c r="K224" s="175">
        <f t="shared" si="42"/>
        <v>0.71879564427144216</v>
      </c>
      <c r="L224" s="175">
        <f t="shared" si="43"/>
        <v>9.1326727776897987E-2</v>
      </c>
      <c r="M224" s="175">
        <f t="shared" si="44"/>
        <v>3.0031845355406012E-2</v>
      </c>
      <c r="N224" s="175">
        <f t="shared" si="45"/>
        <v>5.5680425454373399E-3</v>
      </c>
      <c r="O224" s="175">
        <f t="shared" si="46"/>
        <v>3.5030198421286164E-2</v>
      </c>
      <c r="P224" s="175">
        <f t="shared" si="47"/>
        <v>3.5240502951918731E-2</v>
      </c>
      <c r="Q224" s="175">
        <f t="shared" si="48"/>
        <v>8.4007040713867734E-2</v>
      </c>
    </row>
    <row r="225" spans="1:25" x14ac:dyDescent="0.3">
      <c r="A225" s="220">
        <v>42217</v>
      </c>
      <c r="B225" s="222">
        <v>477224549</v>
      </c>
      <c r="C225" s="223">
        <v>346049170</v>
      </c>
      <c r="D225" s="224">
        <v>40052335</v>
      </c>
      <c r="E225" s="224">
        <v>13994299</v>
      </c>
      <c r="F225" s="224">
        <v>3310318</v>
      </c>
      <c r="G225" s="224">
        <v>14303780</v>
      </c>
      <c r="H225" s="224">
        <v>16274632</v>
      </c>
      <c r="I225" s="222">
        <v>43240016</v>
      </c>
      <c r="J225" s="221"/>
      <c r="K225" s="175">
        <f t="shared" ref="K225:K236" si="49">C225/$B225</f>
        <v>0.7251286018817108</v>
      </c>
      <c r="L225" s="175">
        <f t="shared" ref="L225:L236" si="50">D225/$B225</f>
        <v>8.3927650167887738E-2</v>
      </c>
      <c r="M225" s="175">
        <f t="shared" ref="M225:M236" si="51">E225/$B225</f>
        <v>2.9324348525917931E-2</v>
      </c>
      <c r="N225" s="175">
        <f t="shared" ref="N225:N236" si="52">F225/$B225</f>
        <v>6.9366045961730275E-3</v>
      </c>
      <c r="O225" s="175">
        <f t="shared" ref="O225:O236" si="53">G225/$B225</f>
        <v>2.997285036985807E-2</v>
      </c>
      <c r="P225" s="175">
        <f t="shared" ref="P225:P236" si="54">H225/$B225</f>
        <v>3.4102671444926021E-2</v>
      </c>
      <c r="Q225" s="175">
        <f t="shared" ref="Q225:Q236" si="55">I225/$B225</f>
        <v>9.060727510897601E-2</v>
      </c>
    </row>
    <row r="226" spans="1:25" x14ac:dyDescent="0.3">
      <c r="A226" s="220">
        <v>42248</v>
      </c>
      <c r="B226" s="222">
        <v>497250379</v>
      </c>
      <c r="C226" s="223">
        <v>363221586</v>
      </c>
      <c r="D226" s="224">
        <v>41935512</v>
      </c>
      <c r="E226" s="224">
        <v>14371160</v>
      </c>
      <c r="F226" s="224">
        <v>2725109</v>
      </c>
      <c r="G226" s="224">
        <v>17440863</v>
      </c>
      <c r="H226" s="224">
        <v>17023961</v>
      </c>
      <c r="I226" s="222">
        <v>40532188</v>
      </c>
      <c r="J226" s="221"/>
      <c r="K226" s="175">
        <f t="shared" si="49"/>
        <v>0.73046014913142987</v>
      </c>
      <c r="L226" s="175">
        <f t="shared" si="50"/>
        <v>8.4334801482373531E-2</v>
      </c>
      <c r="M226" s="175">
        <f t="shared" si="51"/>
        <v>2.8901254995322988E-2</v>
      </c>
      <c r="N226" s="175">
        <f t="shared" si="52"/>
        <v>5.4803558028057326E-3</v>
      </c>
      <c r="O226" s="175">
        <f t="shared" si="53"/>
        <v>3.5074609767165206E-2</v>
      </c>
      <c r="P226" s="175">
        <f t="shared" si="54"/>
        <v>3.4236195122135847E-2</v>
      </c>
      <c r="Q226" s="175">
        <f t="shared" si="55"/>
        <v>8.1512633698766879E-2</v>
      </c>
    </row>
    <row r="227" spans="1:25" x14ac:dyDescent="0.3">
      <c r="A227" s="220">
        <v>42278</v>
      </c>
      <c r="B227" s="222">
        <v>476047307</v>
      </c>
      <c r="C227" s="223">
        <v>346790406</v>
      </c>
      <c r="D227" s="224">
        <v>44694884</v>
      </c>
      <c r="E227" s="224">
        <v>14081446</v>
      </c>
      <c r="F227" s="224">
        <v>2598714</v>
      </c>
      <c r="G227" s="224">
        <v>16088493</v>
      </c>
      <c r="H227" s="224">
        <v>15979565</v>
      </c>
      <c r="I227" s="222">
        <v>35813800</v>
      </c>
      <c r="J227" s="221"/>
      <c r="K227" s="175">
        <f t="shared" si="49"/>
        <v>0.7284788736342962</v>
      </c>
      <c r="L227" s="175">
        <f t="shared" si="50"/>
        <v>9.3887484169719287E-2</v>
      </c>
      <c r="M227" s="175">
        <f t="shared" si="51"/>
        <v>2.9579929962716918E-2</v>
      </c>
      <c r="N227" s="175">
        <f t="shared" si="52"/>
        <v>5.4589406594416469E-3</v>
      </c>
      <c r="O227" s="175">
        <f t="shared" si="53"/>
        <v>3.3795996245389953E-2</v>
      </c>
      <c r="P227" s="175">
        <f t="shared" si="54"/>
        <v>3.3567178650167222E-2</v>
      </c>
      <c r="Q227" s="175">
        <f t="shared" si="55"/>
        <v>7.5231598778900344E-2</v>
      </c>
    </row>
    <row r="228" spans="1:25" x14ac:dyDescent="0.3">
      <c r="A228" s="220">
        <v>42309</v>
      </c>
      <c r="B228" s="222">
        <v>463099105</v>
      </c>
      <c r="C228" s="223">
        <v>348841556</v>
      </c>
      <c r="D228" s="224">
        <v>36612842</v>
      </c>
      <c r="E228" s="224">
        <v>13771309</v>
      </c>
      <c r="F228" s="224">
        <v>2521680</v>
      </c>
      <c r="G228" s="224">
        <v>14282680</v>
      </c>
      <c r="H228" s="224">
        <v>14483768</v>
      </c>
      <c r="I228" s="222">
        <v>32585271</v>
      </c>
      <c r="K228" s="175">
        <f t="shared" si="49"/>
        <v>0.75327624742440391</v>
      </c>
      <c r="L228" s="175">
        <f t="shared" si="50"/>
        <v>7.9060489654800781E-2</v>
      </c>
      <c r="M228" s="175">
        <f t="shared" si="51"/>
        <v>2.9737282692437941E-2</v>
      </c>
      <c r="N228" s="175">
        <f t="shared" si="52"/>
        <v>5.445227539362228E-3</v>
      </c>
      <c r="O228" s="175">
        <f t="shared" si="53"/>
        <v>3.0841519333102578E-2</v>
      </c>
      <c r="P228" s="175">
        <f t="shared" si="54"/>
        <v>3.1275741722713975E-2</v>
      </c>
      <c r="Q228" s="175">
        <f t="shared" si="55"/>
        <v>7.0363493792543613E-2</v>
      </c>
    </row>
    <row r="229" spans="1:25" x14ac:dyDescent="0.3">
      <c r="A229" s="220">
        <v>42339</v>
      </c>
      <c r="B229" s="222">
        <v>590208773</v>
      </c>
      <c r="C229" s="223">
        <v>449547730</v>
      </c>
      <c r="D229" s="224">
        <v>42270739</v>
      </c>
      <c r="E229" s="224">
        <v>15360394</v>
      </c>
      <c r="F229" s="224">
        <v>2626992</v>
      </c>
      <c r="G229" s="224">
        <v>17963174</v>
      </c>
      <c r="H229" s="224">
        <v>18174304</v>
      </c>
      <c r="I229" s="222">
        <v>44265440</v>
      </c>
      <c r="K229" s="175">
        <f t="shared" si="49"/>
        <v>0.76167578417205262</v>
      </c>
      <c r="L229" s="175">
        <f t="shared" si="50"/>
        <v>7.1619977427885506E-2</v>
      </c>
      <c r="M229" s="175">
        <f t="shared" si="51"/>
        <v>2.6025356962967407E-2</v>
      </c>
      <c r="N229" s="175">
        <f t="shared" si="52"/>
        <v>4.450953832229803E-3</v>
      </c>
      <c r="O229" s="175">
        <f t="shared" si="53"/>
        <v>3.0435288023073829E-2</v>
      </c>
      <c r="P229" s="175">
        <f t="shared" si="54"/>
        <v>3.0793008900259097E-2</v>
      </c>
      <c r="Q229" s="175">
        <f t="shared" si="55"/>
        <v>7.4999630681531732E-2</v>
      </c>
    </row>
    <row r="230" spans="1:25" x14ac:dyDescent="0.3">
      <c r="A230" s="225">
        <v>42370</v>
      </c>
      <c r="B230" s="226">
        <v>438971270</v>
      </c>
      <c r="C230" s="44">
        <v>321009961</v>
      </c>
      <c r="D230" s="45">
        <v>36465741</v>
      </c>
      <c r="E230" s="45">
        <v>15166251</v>
      </c>
      <c r="F230" s="45">
        <v>2034081</v>
      </c>
      <c r="G230" s="45">
        <v>14796660</v>
      </c>
      <c r="H230" s="45">
        <v>14661026</v>
      </c>
      <c r="I230" s="37">
        <v>34837550</v>
      </c>
      <c r="J230" s="221"/>
      <c r="K230" s="175">
        <f t="shared" si="49"/>
        <v>0.7312778373855765</v>
      </c>
      <c r="L230" s="175">
        <f t="shared" si="50"/>
        <v>8.3070905756543023E-2</v>
      </c>
      <c r="M230" s="175">
        <f t="shared" si="51"/>
        <v>3.4549529858753626E-2</v>
      </c>
      <c r="N230" s="175">
        <f t="shared" si="52"/>
        <v>4.6337451651448621E-3</v>
      </c>
      <c r="O230" s="175">
        <f t="shared" si="53"/>
        <v>3.3707581819648468E-2</v>
      </c>
      <c r="P230" s="175">
        <f t="shared" si="54"/>
        <v>3.339860032297786E-2</v>
      </c>
      <c r="Q230" s="175">
        <f t="shared" si="55"/>
        <v>7.936179969135565E-2</v>
      </c>
    </row>
    <row r="231" spans="1:25" x14ac:dyDescent="0.3">
      <c r="A231" s="220">
        <v>42401</v>
      </c>
      <c r="B231" s="222">
        <v>438356790</v>
      </c>
      <c r="C231" s="9">
        <v>325122491</v>
      </c>
      <c r="D231" s="10">
        <v>35283795</v>
      </c>
      <c r="E231" s="10">
        <v>12138289</v>
      </c>
      <c r="F231" s="10">
        <v>2480218</v>
      </c>
      <c r="G231" s="10">
        <v>15559860</v>
      </c>
      <c r="H231" s="10">
        <v>14835790</v>
      </c>
      <c r="I231" s="11">
        <v>32936348</v>
      </c>
      <c r="J231" s="221"/>
      <c r="K231" s="175">
        <f t="shared" si="49"/>
        <v>0.74168462407072555</v>
      </c>
      <c r="L231" s="175">
        <f t="shared" si="50"/>
        <v>8.0491042467940324E-2</v>
      </c>
      <c r="M231" s="175">
        <f t="shared" si="51"/>
        <v>2.7690432261811206E-2</v>
      </c>
      <c r="N231" s="175">
        <f t="shared" si="52"/>
        <v>5.657989237488485E-3</v>
      </c>
      <c r="O231" s="175">
        <f t="shared" si="53"/>
        <v>3.5495879965723814E-2</v>
      </c>
      <c r="P231" s="175">
        <f t="shared" si="54"/>
        <v>3.3844097635626909E-2</v>
      </c>
      <c r="Q231" s="175">
        <f t="shared" si="55"/>
        <v>7.5135936641930426E-2</v>
      </c>
    </row>
    <row r="232" spans="1:25" x14ac:dyDescent="0.3">
      <c r="A232" s="220">
        <v>42430</v>
      </c>
      <c r="B232" s="222">
        <v>519524462</v>
      </c>
      <c r="C232" s="9">
        <v>384105430</v>
      </c>
      <c r="D232" s="10">
        <v>43627202</v>
      </c>
      <c r="E232" s="10">
        <v>16819008</v>
      </c>
      <c r="F232" s="10">
        <v>2534251</v>
      </c>
      <c r="G232" s="10">
        <v>16900467</v>
      </c>
      <c r="H232" s="10">
        <v>17066424</v>
      </c>
      <c r="I232" s="11">
        <v>38471681</v>
      </c>
      <c r="J232" s="221"/>
      <c r="K232" s="175">
        <f t="shared" si="49"/>
        <v>0.73934041242508419</v>
      </c>
      <c r="L232" s="175">
        <f t="shared" si="50"/>
        <v>8.3975260437303523E-2</v>
      </c>
      <c r="M232" s="175">
        <f t="shared" si="51"/>
        <v>3.2373851916909349E-2</v>
      </c>
      <c r="N232" s="175">
        <f t="shared" si="52"/>
        <v>4.8780205464126923E-3</v>
      </c>
      <c r="O232" s="175">
        <f t="shared" si="53"/>
        <v>3.2530647228695843E-2</v>
      </c>
      <c r="P232" s="175">
        <f t="shared" si="54"/>
        <v>3.2850087432456647E-2</v>
      </c>
      <c r="Q232" s="175">
        <f t="shared" si="55"/>
        <v>7.4051721937974879E-2</v>
      </c>
    </row>
    <row r="233" spans="1:25" x14ac:dyDescent="0.3">
      <c r="A233" s="225">
        <v>42461</v>
      </c>
      <c r="B233" s="222">
        <v>457741007</v>
      </c>
      <c r="C233" s="9">
        <v>341513381</v>
      </c>
      <c r="D233" s="10">
        <v>34824330</v>
      </c>
      <c r="E233" s="10">
        <v>12808266</v>
      </c>
      <c r="F233" s="10">
        <v>2466451</v>
      </c>
      <c r="G233" s="10">
        <v>16063815</v>
      </c>
      <c r="H233" s="10">
        <v>14923407</v>
      </c>
      <c r="I233" s="11">
        <v>35141358</v>
      </c>
      <c r="J233" s="221"/>
      <c r="K233" s="175">
        <f t="shared" si="49"/>
        <v>0.74608430483048249</v>
      </c>
      <c r="L233" s="175">
        <f t="shared" si="50"/>
        <v>7.6078676516740398E-2</v>
      </c>
      <c r="M233" s="175">
        <f t="shared" si="51"/>
        <v>2.7981469442609933E-2</v>
      </c>
      <c r="N233" s="175">
        <f t="shared" si="52"/>
        <v>5.3883112115406346E-3</v>
      </c>
      <c r="O233" s="175">
        <f t="shared" si="53"/>
        <v>3.5093676892269346E-2</v>
      </c>
      <c r="P233" s="175">
        <f t="shared" si="54"/>
        <v>3.2602294248896081E-2</v>
      </c>
      <c r="Q233" s="175">
        <f t="shared" si="55"/>
        <v>7.6771269042102672E-2</v>
      </c>
    </row>
    <row r="234" spans="1:25" x14ac:dyDescent="0.3">
      <c r="A234" s="220">
        <v>42491</v>
      </c>
      <c r="B234" s="222">
        <v>461871329</v>
      </c>
      <c r="C234" s="9">
        <v>342070946</v>
      </c>
      <c r="D234" s="10">
        <v>24990322</v>
      </c>
      <c r="E234" s="10">
        <v>14222235</v>
      </c>
      <c r="F234" s="10">
        <v>2233131</v>
      </c>
      <c r="G234" s="10">
        <v>15750854</v>
      </c>
      <c r="H234" s="10">
        <v>16143287</v>
      </c>
      <c r="I234" s="11">
        <v>36460555</v>
      </c>
      <c r="J234" s="221"/>
      <c r="K234" s="175">
        <f t="shared" si="49"/>
        <v>0.7406195719933939</v>
      </c>
      <c r="L234" s="175">
        <f t="shared" si="50"/>
        <v>5.4106675238115937E-2</v>
      </c>
      <c r="M234" s="175">
        <f t="shared" si="51"/>
        <v>3.0792634456857572E-2</v>
      </c>
      <c r="N234" s="175">
        <f t="shared" si="52"/>
        <v>4.8349634623022896E-3</v>
      </c>
      <c r="O234" s="175">
        <f t="shared" si="53"/>
        <v>3.4102255349129931E-2</v>
      </c>
      <c r="P234" s="175">
        <f t="shared" si="54"/>
        <v>3.4951914064360552E-2</v>
      </c>
      <c r="Q234" s="175">
        <f t="shared" si="55"/>
        <v>7.8940935950583754E-2</v>
      </c>
    </row>
    <row r="235" spans="1:25" x14ac:dyDescent="0.3">
      <c r="A235" s="220">
        <v>42522</v>
      </c>
      <c r="B235" s="222">
        <v>503730247</v>
      </c>
      <c r="C235" s="9">
        <v>369716220</v>
      </c>
      <c r="D235" s="10">
        <v>36775397</v>
      </c>
      <c r="E235" s="10">
        <v>17063943</v>
      </c>
      <c r="F235" s="10">
        <v>2446673</v>
      </c>
      <c r="G235" s="10">
        <v>18833262</v>
      </c>
      <c r="H235" s="10">
        <v>15907666</v>
      </c>
      <c r="I235" s="11">
        <v>42987087</v>
      </c>
      <c r="J235" s="227"/>
      <c r="K235" s="175">
        <f t="shared" si="49"/>
        <v>0.73395675999579191</v>
      </c>
      <c r="L235" s="175">
        <f t="shared" si="50"/>
        <v>7.3006132188841943E-2</v>
      </c>
      <c r="M235" s="175">
        <f t="shared" si="51"/>
        <v>3.3875160567834635E-2</v>
      </c>
      <c r="N235" s="175">
        <f t="shared" si="52"/>
        <v>4.8571095632460601E-3</v>
      </c>
      <c r="O235" s="175">
        <f t="shared" si="53"/>
        <v>3.738759407870141E-2</v>
      </c>
      <c r="P235" s="175">
        <f t="shared" si="54"/>
        <v>3.1579731601862691E-2</v>
      </c>
      <c r="Q235" s="175">
        <f t="shared" si="55"/>
        <v>8.5337513988910818E-2</v>
      </c>
    </row>
    <row r="236" spans="1:25" x14ac:dyDescent="0.3">
      <c r="A236" s="225">
        <v>42552</v>
      </c>
      <c r="B236" s="222">
        <v>437142094</v>
      </c>
      <c r="C236" s="9">
        <v>324486216</v>
      </c>
      <c r="D236" s="10">
        <v>31463653</v>
      </c>
      <c r="E236" s="10">
        <v>14079159</v>
      </c>
      <c r="F236" s="10">
        <v>2673371</v>
      </c>
      <c r="G236" s="10">
        <v>14762394</v>
      </c>
      <c r="H236" s="10">
        <v>15745848</v>
      </c>
      <c r="I236" s="11">
        <v>33931453</v>
      </c>
      <c r="J236" s="221"/>
      <c r="K236" s="175">
        <f t="shared" si="49"/>
        <v>0.74229002526578924</v>
      </c>
      <c r="L236" s="175">
        <f t="shared" si="50"/>
        <v>7.1975802449260357E-2</v>
      </c>
      <c r="M236" s="175">
        <f t="shared" si="51"/>
        <v>3.2207282696504629E-2</v>
      </c>
      <c r="N236" s="175">
        <f t="shared" si="52"/>
        <v>6.1155652514214287E-3</v>
      </c>
      <c r="O236" s="175">
        <f t="shared" si="53"/>
        <v>3.3770241307395116E-2</v>
      </c>
      <c r="P236" s="175">
        <f t="shared" si="54"/>
        <v>3.6019976607423218E-2</v>
      </c>
      <c r="Q236" s="175">
        <f t="shared" si="55"/>
        <v>7.7621106422206043E-2</v>
      </c>
    </row>
    <row r="237" spans="1:25" x14ac:dyDescent="0.3">
      <c r="A237" s="220">
        <v>42583</v>
      </c>
      <c r="B237" s="222">
        <v>458403613</v>
      </c>
      <c r="C237" s="223">
        <v>335194859</v>
      </c>
      <c r="D237" s="224">
        <v>36481699</v>
      </c>
      <c r="E237" s="224">
        <v>14078709</v>
      </c>
      <c r="F237" s="224">
        <v>2253270</v>
      </c>
      <c r="G237" s="224">
        <v>18509444</v>
      </c>
      <c r="H237" s="224">
        <v>14987105</v>
      </c>
      <c r="I237" s="222">
        <v>36898527</v>
      </c>
      <c r="J237" s="221"/>
      <c r="K237" s="175">
        <f t="shared" ref="K237:K241" si="56">C237/$B237</f>
        <v>0.73122211408050142</v>
      </c>
      <c r="L237" s="175">
        <f t="shared" ref="L237:L242" si="57">D237/$B237</f>
        <v>7.9584230938424122E-2</v>
      </c>
      <c r="M237" s="175">
        <f t="shared" ref="M237:M242" si="58">E237/$B237</f>
        <v>3.071247390015663E-2</v>
      </c>
      <c r="N237" s="175">
        <f t="shared" ref="N237:N242" si="59">F237/$B237</f>
        <v>4.9154717286226971E-3</v>
      </c>
      <c r="O237" s="175">
        <f t="shared" ref="O237:O242" si="60">G237/$B237</f>
        <v>4.0378049987140917E-2</v>
      </c>
      <c r="P237" s="175">
        <f t="shared" ref="P237:P242" si="61">H237/$B237</f>
        <v>3.2694124947920074E-2</v>
      </c>
      <c r="Q237" s="175">
        <f t="shared" ref="Q237:Q242" si="62">I237/$B237</f>
        <v>8.0493534417234183E-2</v>
      </c>
    </row>
    <row r="238" spans="1:25" x14ac:dyDescent="0.3">
      <c r="A238" s="220">
        <v>42614</v>
      </c>
      <c r="B238" s="222">
        <v>505187673</v>
      </c>
      <c r="C238" s="223">
        <v>378822169</v>
      </c>
      <c r="D238" s="224">
        <v>38954401</v>
      </c>
      <c r="E238" s="224">
        <v>14865435</v>
      </c>
      <c r="F238" s="224">
        <v>2510663</v>
      </c>
      <c r="G238" s="224">
        <v>17950456</v>
      </c>
      <c r="H238" s="224">
        <v>18971443</v>
      </c>
      <c r="I238" s="222">
        <v>33133107</v>
      </c>
      <c r="J238" s="221"/>
      <c r="K238" s="175">
        <f t="shared" si="56"/>
        <v>0.7498642370871943</v>
      </c>
      <c r="L238" s="175">
        <f t="shared" si="57"/>
        <v>7.7108771812807078E-2</v>
      </c>
      <c r="M238" s="175">
        <f t="shared" si="58"/>
        <v>2.9425569534829089E-2</v>
      </c>
      <c r="N238" s="175">
        <f t="shared" si="59"/>
        <v>4.9697629894464987E-3</v>
      </c>
      <c r="O238" s="175">
        <f t="shared" si="60"/>
        <v>3.5532252585268445E-2</v>
      </c>
      <c r="P238" s="175">
        <f t="shared" si="61"/>
        <v>3.7553257955286648E-2</v>
      </c>
      <c r="Q238" s="175">
        <f t="shared" si="62"/>
        <v>6.5585739262485926E-2</v>
      </c>
    </row>
    <row r="239" spans="1:25" x14ac:dyDescent="0.3">
      <c r="A239" s="225">
        <v>42644</v>
      </c>
      <c r="B239" s="222">
        <v>480398054</v>
      </c>
      <c r="C239" s="223">
        <v>349516985</v>
      </c>
      <c r="D239" s="224">
        <v>36123290</v>
      </c>
      <c r="E239" s="224">
        <v>14983233</v>
      </c>
      <c r="F239" s="224">
        <v>2561813</v>
      </c>
      <c r="G239" s="224">
        <v>17002577</v>
      </c>
      <c r="H239" s="224">
        <v>19924922</v>
      </c>
      <c r="I239" s="222">
        <v>40285235</v>
      </c>
      <c r="J239" s="221"/>
      <c r="K239" s="175">
        <f t="shared" si="56"/>
        <v>0.72755703752288725</v>
      </c>
      <c r="L239" s="175">
        <f t="shared" si="57"/>
        <v>7.5194496936908911E-2</v>
      </c>
      <c r="M239" s="175">
        <f t="shared" si="58"/>
        <v>3.1189204192738049E-2</v>
      </c>
      <c r="N239" s="175">
        <f t="shared" si="59"/>
        <v>5.3326881294985425E-3</v>
      </c>
      <c r="O239" s="175">
        <f t="shared" si="60"/>
        <v>3.5392685000343489E-2</v>
      </c>
      <c r="P239" s="175">
        <f t="shared" si="61"/>
        <v>4.1475859100794772E-2</v>
      </c>
      <c r="Q239" s="175">
        <f t="shared" si="62"/>
        <v>8.3858031198436114E-2</v>
      </c>
      <c r="S239" s="221"/>
      <c r="T239" s="221"/>
      <c r="U239" s="221"/>
      <c r="V239" s="221"/>
      <c r="W239" s="221"/>
      <c r="X239" s="221"/>
      <c r="Y239" s="221"/>
    </row>
    <row r="240" spans="1:25" x14ac:dyDescent="0.3">
      <c r="A240" s="220">
        <v>42675</v>
      </c>
      <c r="B240" s="222">
        <v>476475579</v>
      </c>
      <c r="C240" s="223">
        <v>353271459</v>
      </c>
      <c r="D240" s="224">
        <v>36407711</v>
      </c>
      <c r="E240" s="224">
        <v>14164112</v>
      </c>
      <c r="F240" s="224">
        <v>2429402</v>
      </c>
      <c r="G240" s="224">
        <v>16014311</v>
      </c>
      <c r="H240" s="224">
        <v>17491725</v>
      </c>
      <c r="I240" s="222">
        <v>36696860</v>
      </c>
      <c r="K240" s="175">
        <f t="shared" si="56"/>
        <v>0.74142616026917085</v>
      </c>
      <c r="L240" s="175">
        <f t="shared" si="57"/>
        <v>7.6410444951681353E-2</v>
      </c>
      <c r="M240" s="175">
        <f t="shared" si="58"/>
        <v>2.9726837269869816E-2</v>
      </c>
      <c r="N240" s="175">
        <f t="shared" si="59"/>
        <v>5.09869153231041E-3</v>
      </c>
      <c r="O240" s="175">
        <f t="shared" si="60"/>
        <v>3.3609930300331298E-2</v>
      </c>
      <c r="P240" s="175">
        <f t="shared" si="61"/>
        <v>3.6710643254184494E-2</v>
      </c>
      <c r="Q240" s="175">
        <f t="shared" si="62"/>
        <v>7.7017294521195184E-2</v>
      </c>
      <c r="S240" s="221"/>
      <c r="T240" s="221"/>
      <c r="U240" s="221"/>
      <c r="V240" s="221"/>
      <c r="W240" s="221"/>
      <c r="X240" s="221"/>
      <c r="Y240" s="221"/>
    </row>
    <row r="241" spans="1:25" ht="13.5" thickBot="1" x14ac:dyDescent="0.35">
      <c r="A241" s="228">
        <v>42705</v>
      </c>
      <c r="B241" s="229">
        <v>600491829</v>
      </c>
      <c r="C241" s="230">
        <v>450636735</v>
      </c>
      <c r="D241" s="231">
        <v>42733620</v>
      </c>
      <c r="E241" s="231">
        <v>16194843</v>
      </c>
      <c r="F241" s="231">
        <v>2915207</v>
      </c>
      <c r="G241" s="231">
        <v>18490525</v>
      </c>
      <c r="H241" s="231">
        <v>19666639</v>
      </c>
      <c r="I241" s="229">
        <v>49404261</v>
      </c>
      <c r="K241" s="180">
        <f t="shared" si="56"/>
        <v>0.75044607309719114</v>
      </c>
      <c r="L241" s="180">
        <f t="shared" si="57"/>
        <v>7.1164365502132426E-2</v>
      </c>
      <c r="M241" s="180">
        <f t="shared" si="58"/>
        <v>2.6969297862003049E-2</v>
      </c>
      <c r="N241" s="180">
        <f t="shared" si="59"/>
        <v>4.854698863854149E-3</v>
      </c>
      <c r="O241" s="180">
        <f t="shared" si="60"/>
        <v>3.0792300755852584E-2</v>
      </c>
      <c r="P241" s="180">
        <f t="shared" si="61"/>
        <v>3.275088527474368E-2</v>
      </c>
      <c r="Q241" s="180">
        <f t="shared" si="62"/>
        <v>8.227299459223783E-2</v>
      </c>
      <c r="S241" s="182"/>
      <c r="T241" s="182"/>
      <c r="U241" s="182"/>
      <c r="V241" s="182"/>
      <c r="W241" s="182"/>
      <c r="X241" s="182"/>
      <c r="Y241" s="182"/>
    </row>
    <row r="242" spans="1:25" x14ac:dyDescent="0.3">
      <c r="A242" s="232">
        <v>42736</v>
      </c>
      <c r="B242" s="233">
        <v>449999583</v>
      </c>
      <c r="C242" s="44">
        <v>331199671</v>
      </c>
      <c r="D242" s="45">
        <v>35828832</v>
      </c>
      <c r="E242" s="45">
        <v>14031238</v>
      </c>
      <c r="F242" s="45">
        <v>2423959</v>
      </c>
      <c r="G242" s="45">
        <v>14765031</v>
      </c>
      <c r="H242" s="45">
        <v>17958818</v>
      </c>
      <c r="I242" s="37">
        <v>33792036</v>
      </c>
      <c r="J242" s="221"/>
      <c r="K242" s="234">
        <f>C242/$B242</f>
        <v>0.73599995091551007</v>
      </c>
      <c r="L242" s="234">
        <f t="shared" si="57"/>
        <v>7.9619700447589078E-2</v>
      </c>
      <c r="M242" s="234">
        <f t="shared" si="58"/>
        <v>3.1180557782872435E-2</v>
      </c>
      <c r="N242" s="234">
        <f t="shared" si="59"/>
        <v>5.3865805471201957E-3</v>
      </c>
      <c r="O242" s="234">
        <f t="shared" si="60"/>
        <v>3.2811210405054976E-2</v>
      </c>
      <c r="P242" s="234">
        <f t="shared" si="61"/>
        <v>3.9908521426340965E-2</v>
      </c>
      <c r="Q242" s="234">
        <f t="shared" si="62"/>
        <v>7.5093482919960833E-2</v>
      </c>
    </row>
    <row r="243" spans="1:25" x14ac:dyDescent="0.3">
      <c r="A243" s="220">
        <v>42767</v>
      </c>
      <c r="B243" s="222">
        <v>430117561</v>
      </c>
      <c r="C243" s="9">
        <v>319588994</v>
      </c>
      <c r="D243" s="10">
        <v>33155601</v>
      </c>
      <c r="E243" s="10">
        <v>13274033</v>
      </c>
      <c r="F243" s="10">
        <v>2724651</v>
      </c>
      <c r="G243" s="10">
        <v>16645895</v>
      </c>
      <c r="H243" s="10">
        <v>17167248</v>
      </c>
      <c r="I243" s="11">
        <v>27561139</v>
      </c>
      <c r="J243" s="221"/>
      <c r="K243" s="175">
        <f>C243/$B243</f>
        <v>0.74302707672984314</v>
      </c>
      <c r="L243" s="175">
        <f t="shared" ref="L243" si="63">D243/$B243</f>
        <v>7.70849739845893E-2</v>
      </c>
      <c r="M243" s="175">
        <f t="shared" ref="M243" si="64">E243/$B243</f>
        <v>3.0861406749211992E-2</v>
      </c>
      <c r="N243" s="175">
        <f t="shared" ref="N243" si="65">F243/$B243</f>
        <v>6.3346657915229832E-3</v>
      </c>
      <c r="O243" s="175">
        <f t="shared" ref="O243" si="66">G243/$B243</f>
        <v>3.8700803011388785E-2</v>
      </c>
      <c r="P243" s="175">
        <f t="shared" ref="P243" si="67">H243/$B243</f>
        <v>3.9912920458506924E-2</v>
      </c>
      <c r="Q243" s="175">
        <f t="shared" ref="Q243" si="68">I243/$B243</f>
        <v>6.407815327493685E-2</v>
      </c>
    </row>
    <row r="244" spans="1:25" x14ac:dyDescent="0.3">
      <c r="A244" s="225">
        <v>42795</v>
      </c>
      <c r="B244" s="222">
        <f t="shared" ref="B244:B264" si="69">SUM(C244:I244)</f>
        <v>536315567</v>
      </c>
      <c r="C244" s="9">
        <v>390835413</v>
      </c>
      <c r="D244" s="10">
        <v>42590700</v>
      </c>
      <c r="E244" s="10">
        <v>20179854</v>
      </c>
      <c r="F244" s="10">
        <v>3163001</v>
      </c>
      <c r="G244" s="10">
        <v>19674613</v>
      </c>
      <c r="H244" s="10">
        <v>19338609</v>
      </c>
      <c r="I244" s="11">
        <v>40533377</v>
      </c>
      <c r="J244" s="221"/>
      <c r="K244" s="175">
        <f>C244/$B244</f>
        <v>0.72874150415999395</v>
      </c>
      <c r="L244" s="175">
        <f t="shared" ref="L244:L245" si="70">D244/$B244</f>
        <v>7.9413506936299685E-2</v>
      </c>
      <c r="M244" s="175">
        <f t="shared" ref="M244:M245" si="71">E244/$B244</f>
        <v>3.7626828758449964E-2</v>
      </c>
      <c r="N244" s="175">
        <f t="shared" ref="N244:N245" si="72">F244/$B244</f>
        <v>5.8976490607814108E-3</v>
      </c>
      <c r="O244" s="175">
        <f t="shared" ref="O244:O245" si="73">G244/$B244</f>
        <v>3.6684769584545737E-2</v>
      </c>
      <c r="P244" s="175">
        <f t="shared" ref="P244:P245" si="74">H244/$B244</f>
        <v>3.6058265301107693E-2</v>
      </c>
      <c r="Q244" s="175">
        <f t="shared" ref="Q244:Q245" si="75">I244/$B244</f>
        <v>7.5577476198821575E-2</v>
      </c>
    </row>
    <row r="245" spans="1:25" x14ac:dyDescent="0.3">
      <c r="A245" s="220">
        <v>42826</v>
      </c>
      <c r="B245" s="222">
        <f t="shared" si="69"/>
        <v>475870839</v>
      </c>
      <c r="C245" s="9">
        <v>341415239</v>
      </c>
      <c r="D245" s="10">
        <v>41572341</v>
      </c>
      <c r="E245" s="10">
        <v>19131615</v>
      </c>
      <c r="F245" s="10">
        <v>2403412</v>
      </c>
      <c r="G245" s="10">
        <v>17158077</v>
      </c>
      <c r="H245" s="10">
        <v>18505705</v>
      </c>
      <c r="I245" s="11">
        <v>35684450</v>
      </c>
      <c r="J245" s="221"/>
      <c r="K245" s="175">
        <f t="shared" ref="K245" si="76">C245/$B245</f>
        <v>0.71745358408061644</v>
      </c>
      <c r="L245" s="175">
        <f t="shared" si="70"/>
        <v>8.7360555833512626E-2</v>
      </c>
      <c r="M245" s="175">
        <f t="shared" si="71"/>
        <v>4.0203377538752694E-2</v>
      </c>
      <c r="N245" s="175">
        <f t="shared" si="72"/>
        <v>5.0505553251604055E-3</v>
      </c>
      <c r="O245" s="175">
        <f t="shared" si="73"/>
        <v>3.6056163970997181E-2</v>
      </c>
      <c r="P245" s="175">
        <f t="shared" si="74"/>
        <v>3.8888083663390853E-2</v>
      </c>
      <c r="Q245" s="175">
        <f t="shared" si="75"/>
        <v>7.4987679587569772E-2</v>
      </c>
    </row>
    <row r="246" spans="1:25" x14ac:dyDescent="0.3">
      <c r="A246" s="225">
        <v>42856</v>
      </c>
      <c r="B246" s="222">
        <f t="shared" si="69"/>
        <v>491051450</v>
      </c>
      <c r="C246" s="9">
        <v>352922137</v>
      </c>
      <c r="D246" s="10">
        <v>41813718</v>
      </c>
      <c r="E246" s="10">
        <v>18469631</v>
      </c>
      <c r="F246" s="10">
        <v>2381909</v>
      </c>
      <c r="G246" s="10">
        <v>17878211</v>
      </c>
      <c r="H246" s="10">
        <v>20394954</v>
      </c>
      <c r="I246" s="11">
        <v>37190890</v>
      </c>
      <c r="J246" s="221"/>
      <c r="K246" s="175">
        <f t="shared" ref="K246" si="77">C246/$B246</f>
        <v>0.7187070458706516</v>
      </c>
      <c r="L246" s="175">
        <f t="shared" ref="L246" si="78">D246/$B246</f>
        <v>8.5151399104920672E-2</v>
      </c>
      <c r="M246" s="175">
        <f t="shared" ref="M246" si="79">E246/$B246</f>
        <v>3.7612415155275483E-2</v>
      </c>
      <c r="N246" s="175">
        <f t="shared" ref="N246" si="80">F246/$B246</f>
        <v>4.8506302140030339E-3</v>
      </c>
      <c r="O246" s="175">
        <f t="shared" ref="O246" si="81">G246/$B246</f>
        <v>3.6408019974281718E-2</v>
      </c>
      <c r="P246" s="175">
        <f t="shared" ref="P246" si="82">H246/$B246</f>
        <v>4.1533232413833623E-2</v>
      </c>
      <c r="Q246" s="175">
        <f t="shared" ref="Q246" si="83">I246/$B246</f>
        <v>7.5737257267033828E-2</v>
      </c>
    </row>
    <row r="247" spans="1:25" x14ac:dyDescent="0.3">
      <c r="A247" s="220">
        <v>42887</v>
      </c>
      <c r="B247" s="222">
        <f t="shared" si="69"/>
        <v>510427175</v>
      </c>
      <c r="C247" s="9">
        <v>368147335</v>
      </c>
      <c r="D247" s="10">
        <v>41894705</v>
      </c>
      <c r="E247" s="10">
        <v>20249230</v>
      </c>
      <c r="F247" s="10">
        <v>2351622</v>
      </c>
      <c r="G247" s="10">
        <v>18889455</v>
      </c>
      <c r="H247" s="10">
        <v>19827003</v>
      </c>
      <c r="I247" s="11">
        <v>39067825</v>
      </c>
      <c r="J247" s="221"/>
      <c r="K247" s="175">
        <f t="shared" ref="K247:K252" si="84">C247/$B247</f>
        <v>0.7212533991749166</v>
      </c>
      <c r="L247" s="175">
        <f t="shared" ref="L247:L252" si="85">D247/$B247</f>
        <v>8.2077732244565549E-2</v>
      </c>
      <c r="M247" s="175">
        <f t="shared" ref="M247:M252" si="86">E247/$B247</f>
        <v>3.9671144076527665E-2</v>
      </c>
      <c r="N247" s="175">
        <f t="shared" ref="N247:N252" si="87">F247/$B247</f>
        <v>4.607164577395394E-3</v>
      </c>
      <c r="O247" s="175">
        <f t="shared" ref="O247:O252" si="88">G247/$B247</f>
        <v>3.7007149942594651E-2</v>
      </c>
      <c r="P247" s="175">
        <f t="shared" ref="P247:P252" si="89">H247/$B247</f>
        <v>3.8843940861886909E-2</v>
      </c>
      <c r="Q247" s="175">
        <f t="shared" ref="Q247:Q252" si="90">I247/$B247</f>
        <v>7.6539469122113263E-2</v>
      </c>
    </row>
    <row r="248" spans="1:25" x14ac:dyDescent="0.3">
      <c r="A248" s="225">
        <v>42917</v>
      </c>
      <c r="B248" s="222">
        <f t="shared" si="69"/>
        <v>463465371</v>
      </c>
      <c r="C248" s="9">
        <v>331668349</v>
      </c>
      <c r="D248" s="10">
        <v>41153942</v>
      </c>
      <c r="E248" s="10">
        <v>18544005</v>
      </c>
      <c r="F248" s="10">
        <v>2636651</v>
      </c>
      <c r="G248" s="10">
        <v>18599461</v>
      </c>
      <c r="H248" s="10">
        <v>19300243</v>
      </c>
      <c r="I248" s="11">
        <v>31562720</v>
      </c>
      <c r="J248" s="221"/>
      <c r="K248" s="175">
        <f t="shared" si="84"/>
        <v>0.71562703440900655</v>
      </c>
      <c r="L248" s="175">
        <f t="shared" si="85"/>
        <v>8.8796153013986454E-2</v>
      </c>
      <c r="M248" s="175">
        <f t="shared" si="86"/>
        <v>4.0011630124572997E-2</v>
      </c>
      <c r="N248" s="175">
        <f t="shared" si="87"/>
        <v>5.6889924576479303E-3</v>
      </c>
      <c r="O248" s="175">
        <f t="shared" si="88"/>
        <v>4.0131285234684774E-2</v>
      </c>
      <c r="P248" s="175">
        <f t="shared" si="89"/>
        <v>4.1643333477874876E-2</v>
      </c>
      <c r="Q248" s="175">
        <f t="shared" si="90"/>
        <v>6.8101571282226395E-2</v>
      </c>
    </row>
    <row r="249" spans="1:25" x14ac:dyDescent="0.3">
      <c r="A249" s="220">
        <v>42948</v>
      </c>
      <c r="B249" s="222">
        <f t="shared" si="69"/>
        <v>472282448</v>
      </c>
      <c r="C249" s="223">
        <v>341511522</v>
      </c>
      <c r="D249" s="224">
        <v>39426544</v>
      </c>
      <c r="E249" s="224">
        <v>18449165</v>
      </c>
      <c r="F249" s="224">
        <v>2292922</v>
      </c>
      <c r="G249" s="224">
        <v>19888250</v>
      </c>
      <c r="H249" s="224">
        <v>19340705</v>
      </c>
      <c r="I249" s="222">
        <v>31373340</v>
      </c>
      <c r="J249" s="221"/>
      <c r="K249" s="175">
        <f t="shared" si="84"/>
        <v>0.72310864705266376</v>
      </c>
      <c r="L249" s="175">
        <f t="shared" si="85"/>
        <v>8.3480858047894249E-2</v>
      </c>
      <c r="M249" s="175">
        <f t="shared" si="86"/>
        <v>3.9063837917601374E-2</v>
      </c>
      <c r="N249" s="175">
        <f t="shared" si="87"/>
        <v>4.8549803400697207E-3</v>
      </c>
      <c r="O249" s="175">
        <f t="shared" si="88"/>
        <v>4.2110923419284046E-2</v>
      </c>
      <c r="P249" s="175">
        <f t="shared" si="89"/>
        <v>4.0951564221586315E-2</v>
      </c>
      <c r="Q249" s="175">
        <f t="shared" si="90"/>
        <v>6.6429189000900585E-2</v>
      </c>
    </row>
    <row r="250" spans="1:25" x14ac:dyDescent="0.3">
      <c r="A250" s="225">
        <v>42979</v>
      </c>
      <c r="B250" s="222">
        <f t="shared" si="69"/>
        <v>477723626</v>
      </c>
      <c r="C250" s="223">
        <v>344434809</v>
      </c>
      <c r="D250" s="224">
        <v>40301863</v>
      </c>
      <c r="E250" s="224">
        <v>18665226</v>
      </c>
      <c r="F250" s="224">
        <v>2641058</v>
      </c>
      <c r="G250" s="224">
        <v>17074795</v>
      </c>
      <c r="H250" s="224">
        <v>20423821</v>
      </c>
      <c r="I250" s="222">
        <v>34182054</v>
      </c>
      <c r="J250" s="221"/>
      <c r="K250" s="175">
        <f t="shared" si="84"/>
        <v>0.72099178322823831</v>
      </c>
      <c r="L250" s="175">
        <f t="shared" si="85"/>
        <v>8.4362298212983924E-2</v>
      </c>
      <c r="M250" s="175">
        <f t="shared" si="86"/>
        <v>3.9071180456961535E-2</v>
      </c>
      <c r="N250" s="175">
        <f t="shared" si="87"/>
        <v>5.5284224104922121E-3</v>
      </c>
      <c r="O250" s="175">
        <f t="shared" si="88"/>
        <v>3.5741994054110271E-2</v>
      </c>
      <c r="P250" s="175">
        <f t="shared" si="89"/>
        <v>4.2752377919864484E-2</v>
      </c>
      <c r="Q250" s="175">
        <f t="shared" si="90"/>
        <v>7.1551943717349242E-2</v>
      </c>
    </row>
    <row r="251" spans="1:25" x14ac:dyDescent="0.3">
      <c r="A251" s="220">
        <v>43009</v>
      </c>
      <c r="B251" s="235">
        <f t="shared" si="69"/>
        <v>468400123</v>
      </c>
      <c r="C251" s="236">
        <v>334063791</v>
      </c>
      <c r="D251" s="224">
        <v>41261942</v>
      </c>
      <c r="E251" s="224">
        <v>19960679</v>
      </c>
      <c r="F251" s="224">
        <v>2863167</v>
      </c>
      <c r="G251" s="224">
        <v>19161317</v>
      </c>
      <c r="H251" s="224">
        <v>19408405</v>
      </c>
      <c r="I251" s="222">
        <v>31680822</v>
      </c>
      <c r="J251" s="221"/>
      <c r="K251" s="175">
        <f t="shared" si="84"/>
        <v>0.7132017576348928</v>
      </c>
      <c r="L251" s="175">
        <f t="shared" si="85"/>
        <v>8.8091227935053293E-2</v>
      </c>
      <c r="M251" s="175">
        <f t="shared" si="86"/>
        <v>4.261458957815005E-2</v>
      </c>
      <c r="N251" s="175">
        <f t="shared" si="87"/>
        <v>6.1126521096152662E-3</v>
      </c>
      <c r="O251" s="175">
        <f t="shared" si="88"/>
        <v>4.0908010180005866E-2</v>
      </c>
      <c r="P251" s="175">
        <f t="shared" si="89"/>
        <v>4.1435524985974435E-2</v>
      </c>
      <c r="Q251" s="175">
        <f t="shared" si="90"/>
        <v>6.7636237576308239E-2</v>
      </c>
    </row>
    <row r="252" spans="1:25" x14ac:dyDescent="0.3">
      <c r="A252" s="225">
        <v>43040</v>
      </c>
      <c r="B252" s="222">
        <f t="shared" si="69"/>
        <v>464616380</v>
      </c>
      <c r="C252" s="223">
        <v>338279004</v>
      </c>
      <c r="D252" s="224">
        <v>38352683</v>
      </c>
      <c r="E252" s="224">
        <v>18701706</v>
      </c>
      <c r="F252" s="224">
        <v>2687622</v>
      </c>
      <c r="G252" s="224">
        <v>17827629</v>
      </c>
      <c r="H252" s="224">
        <v>19584561</v>
      </c>
      <c r="I252" s="222">
        <v>29183175</v>
      </c>
      <c r="K252" s="175">
        <f t="shared" si="84"/>
        <v>0.72808238917448409</v>
      </c>
      <c r="L252" s="175">
        <f t="shared" si="85"/>
        <v>8.2546988549994732E-2</v>
      </c>
      <c r="M252" s="175">
        <f t="shared" si="86"/>
        <v>4.0251929990070517E-2</v>
      </c>
      <c r="N252" s="175">
        <f t="shared" si="87"/>
        <v>5.7846044945724902E-3</v>
      </c>
      <c r="O252" s="175">
        <f t="shared" si="88"/>
        <v>3.8370642464219624E-2</v>
      </c>
      <c r="P252" s="175">
        <f t="shared" si="89"/>
        <v>4.2152110521802955E-2</v>
      </c>
      <c r="Q252" s="175">
        <f t="shared" si="90"/>
        <v>6.2811334804855568E-2</v>
      </c>
    </row>
    <row r="253" spans="1:25" ht="13.5" thickBot="1" x14ac:dyDescent="0.35">
      <c r="A253" s="237">
        <v>43070</v>
      </c>
      <c r="B253" s="229">
        <f t="shared" si="69"/>
        <v>575380956</v>
      </c>
      <c r="C253" s="230">
        <v>426266176</v>
      </c>
      <c r="D253" s="231">
        <v>48200310</v>
      </c>
      <c r="E253" s="231">
        <v>22681167</v>
      </c>
      <c r="F253" s="231">
        <v>2776969</v>
      </c>
      <c r="G253" s="231">
        <v>20469714</v>
      </c>
      <c r="H253" s="231">
        <v>23583500</v>
      </c>
      <c r="I253" s="229">
        <v>31403120</v>
      </c>
      <c r="K253" s="177">
        <f t="shared" ref="K253" si="91">C253/$B253</f>
        <v>0.74084164857204626</v>
      </c>
      <c r="L253" s="177">
        <f t="shared" ref="L253" si="92">D253/$B253</f>
        <v>8.3771125021384965E-2</v>
      </c>
      <c r="M253" s="177">
        <f t="shared" ref="M253" si="93">E253/$B253</f>
        <v>3.9419391211133518E-2</v>
      </c>
      <c r="N253" s="177">
        <f t="shared" ref="N253" si="94">F253/$B253</f>
        <v>4.8263137162294261E-3</v>
      </c>
      <c r="O253" s="177">
        <f t="shared" ref="O253" si="95">G253/$B253</f>
        <v>3.5575932408857827E-2</v>
      </c>
      <c r="P253" s="177">
        <f t="shared" ref="P253" si="96">H253/$B253</f>
        <v>4.0987626987084365E-2</v>
      </c>
      <c r="Q253" s="177">
        <f t="shared" ref="Q253" si="97">I253/$B253</f>
        <v>5.4577962083263667E-2</v>
      </c>
    </row>
    <row r="254" spans="1:25" x14ac:dyDescent="0.3">
      <c r="A254" s="232">
        <v>43101</v>
      </c>
      <c r="B254" s="226">
        <f t="shared" si="69"/>
        <v>447754980</v>
      </c>
      <c r="C254" s="44">
        <v>319677752</v>
      </c>
      <c r="D254" s="45">
        <v>38899336</v>
      </c>
      <c r="E254" s="45">
        <v>16959230</v>
      </c>
      <c r="F254" s="45">
        <v>2412868</v>
      </c>
      <c r="G254" s="45">
        <v>20464832</v>
      </c>
      <c r="H254" s="45">
        <v>18955115</v>
      </c>
      <c r="I254" s="37">
        <v>30385847</v>
      </c>
      <c r="J254" s="221"/>
      <c r="K254" s="238">
        <f t="shared" ref="K254:K266" si="98">C254/$B254</f>
        <v>0.71395688776035504</v>
      </c>
      <c r="L254" s="239">
        <f t="shared" ref="L254:L267" si="99">D254/$B254</f>
        <v>8.6876389403865481E-2</v>
      </c>
      <c r="M254" s="240">
        <f t="shared" ref="M254:M267" si="100">E254/$B254</f>
        <v>3.7876139311728035E-2</v>
      </c>
      <c r="N254" s="239">
        <f t="shared" ref="N254:N267" si="101">F254/$B254</f>
        <v>5.3888133192845781E-3</v>
      </c>
      <c r="O254" s="240">
        <f t="shared" ref="O254:O267" si="102">G254/$B254</f>
        <v>4.5705425766565458E-2</v>
      </c>
      <c r="P254" s="239">
        <f t="shared" ref="P254:P267" si="103">H254/$B254</f>
        <v>4.2333677673445418E-2</v>
      </c>
      <c r="Q254" s="241">
        <f t="shared" ref="Q254:Q267" si="104">I254/$B254</f>
        <v>6.7862666764756024E-2</v>
      </c>
    </row>
    <row r="255" spans="1:25" x14ac:dyDescent="0.3">
      <c r="A255" s="220">
        <v>43132</v>
      </c>
      <c r="B255" s="222">
        <f t="shared" si="69"/>
        <v>441838740</v>
      </c>
      <c r="C255" s="9">
        <v>314207079</v>
      </c>
      <c r="D255" s="10">
        <v>39471270</v>
      </c>
      <c r="E255" s="10">
        <v>18526708</v>
      </c>
      <c r="F255" s="10">
        <v>2462667</v>
      </c>
      <c r="G255" s="10">
        <v>17573883</v>
      </c>
      <c r="H255" s="10">
        <v>21763284</v>
      </c>
      <c r="I255" s="11">
        <v>27833849</v>
      </c>
      <c r="J255" s="221"/>
      <c r="K255" s="242">
        <f t="shared" si="98"/>
        <v>0.71113519606723485</v>
      </c>
      <c r="L255" s="175">
        <f t="shared" si="99"/>
        <v>8.9334108638821491E-2</v>
      </c>
      <c r="M255" s="243">
        <f t="shared" si="100"/>
        <v>4.193092710702552E-2</v>
      </c>
      <c r="N255" s="175">
        <f t="shared" si="101"/>
        <v>5.573678306252639E-3</v>
      </c>
      <c r="O255" s="243">
        <f t="shared" si="102"/>
        <v>3.9774427656569904E-2</v>
      </c>
      <c r="P255" s="175">
        <f t="shared" si="103"/>
        <v>4.9256169796247383E-2</v>
      </c>
      <c r="Q255" s="244">
        <f t="shared" si="104"/>
        <v>6.2995492427848229E-2</v>
      </c>
    </row>
    <row r="256" spans="1:25" x14ac:dyDescent="0.3">
      <c r="A256" s="220">
        <v>43160</v>
      </c>
      <c r="B256" s="222">
        <f t="shared" si="69"/>
        <v>542357892</v>
      </c>
      <c r="C256" s="9">
        <v>387510871</v>
      </c>
      <c r="D256" s="10">
        <v>47441839</v>
      </c>
      <c r="E256" s="10">
        <v>22576066</v>
      </c>
      <c r="F256" s="10">
        <v>3014585</v>
      </c>
      <c r="G256" s="10">
        <v>21856819</v>
      </c>
      <c r="H256" s="10">
        <v>24356796</v>
      </c>
      <c r="I256" s="11">
        <v>35600916</v>
      </c>
      <c r="J256" s="221"/>
      <c r="K256" s="242">
        <f t="shared" si="98"/>
        <v>0.71449291457899533</v>
      </c>
      <c r="L256" s="175">
        <f t="shared" si="99"/>
        <v>8.7473308123264107E-2</v>
      </c>
      <c r="M256" s="243">
        <f t="shared" si="100"/>
        <v>4.1625772083353406E-2</v>
      </c>
      <c r="N256" s="175">
        <f t="shared" si="101"/>
        <v>5.5582947062564362E-3</v>
      </c>
      <c r="O256" s="243">
        <f t="shared" si="102"/>
        <v>4.029962377683996E-2</v>
      </c>
      <c r="P256" s="175">
        <f t="shared" si="103"/>
        <v>4.4909083760506979E-2</v>
      </c>
      <c r="Q256" s="244">
        <f t="shared" si="104"/>
        <v>6.5641002970783721E-2</v>
      </c>
    </row>
    <row r="257" spans="1:17" x14ac:dyDescent="0.3">
      <c r="A257" s="220">
        <v>43191</v>
      </c>
      <c r="B257" s="222">
        <f t="shared" si="69"/>
        <v>485780265</v>
      </c>
      <c r="C257" s="9">
        <v>354884499</v>
      </c>
      <c r="D257" s="10">
        <v>43927222</v>
      </c>
      <c r="E257" s="10">
        <v>20731454</v>
      </c>
      <c r="F257" s="10">
        <v>3335729</v>
      </c>
      <c r="G257" s="10">
        <v>21922802</v>
      </c>
      <c r="H257" s="10">
        <v>22300333</v>
      </c>
      <c r="I257" s="11">
        <v>18678226</v>
      </c>
      <c r="J257" s="221"/>
      <c r="K257" s="242">
        <f t="shared" si="98"/>
        <v>0.73054531970334369</v>
      </c>
      <c r="L257" s="175">
        <f t="shared" si="99"/>
        <v>9.0426114778458522E-2</v>
      </c>
      <c r="M257" s="243">
        <f t="shared" si="100"/>
        <v>4.2676608116223085E-2</v>
      </c>
      <c r="N257" s="175">
        <f t="shared" si="101"/>
        <v>6.8667445763775517E-3</v>
      </c>
      <c r="O257" s="243">
        <f t="shared" si="102"/>
        <v>4.5129050271319686E-2</v>
      </c>
      <c r="P257" s="175">
        <f t="shared" si="103"/>
        <v>4.590621440745437E-2</v>
      </c>
      <c r="Q257" s="244">
        <f t="shared" si="104"/>
        <v>3.8449948146823135E-2</v>
      </c>
    </row>
    <row r="258" spans="1:17" x14ac:dyDescent="0.3">
      <c r="A258" s="220">
        <v>43221</v>
      </c>
      <c r="B258" s="222">
        <f t="shared" si="69"/>
        <v>519235366</v>
      </c>
      <c r="C258" s="9">
        <v>352990747</v>
      </c>
      <c r="D258" s="10">
        <v>54368800</v>
      </c>
      <c r="E258" s="10">
        <v>21256246</v>
      </c>
      <c r="F258" s="10">
        <v>3110910</v>
      </c>
      <c r="G258" s="10">
        <v>20964461</v>
      </c>
      <c r="H258" s="10">
        <v>24989415</v>
      </c>
      <c r="I258" s="11">
        <v>41554787</v>
      </c>
      <c r="J258" s="221"/>
      <c r="K258" s="242">
        <f t="shared" si="98"/>
        <v>0.67982801271668392</v>
      </c>
      <c r="L258" s="175">
        <f t="shared" si="99"/>
        <v>0.10470935448568809</v>
      </c>
      <c r="M258" s="243">
        <f t="shared" si="100"/>
        <v>4.0937592837233666E-2</v>
      </c>
      <c r="N258" s="175">
        <f t="shared" si="101"/>
        <v>5.9913291807630834E-3</v>
      </c>
      <c r="O258" s="243">
        <f t="shared" si="102"/>
        <v>4.0375641515913226E-2</v>
      </c>
      <c r="P258" s="175">
        <f t="shared" si="103"/>
        <v>4.8127336149132803E-2</v>
      </c>
      <c r="Q258" s="244">
        <f t="shared" si="104"/>
        <v>8.0030733114585265E-2</v>
      </c>
    </row>
    <row r="259" spans="1:17" x14ac:dyDescent="0.3">
      <c r="A259" s="220">
        <v>43252</v>
      </c>
      <c r="B259" s="222">
        <f t="shared" si="69"/>
        <v>519823269</v>
      </c>
      <c r="C259" s="9">
        <v>358462282</v>
      </c>
      <c r="D259" s="10">
        <v>49309914</v>
      </c>
      <c r="E259" s="10">
        <v>19962428</v>
      </c>
      <c r="F259" s="10">
        <v>5477448</v>
      </c>
      <c r="G259" s="10">
        <v>20971458</v>
      </c>
      <c r="H259" s="10">
        <v>23168663</v>
      </c>
      <c r="I259" s="11">
        <v>42471076</v>
      </c>
      <c r="J259" s="221"/>
      <c r="K259" s="242">
        <f t="shared" si="98"/>
        <v>0.68958490967436858</v>
      </c>
      <c r="L259" s="175">
        <f t="shared" si="99"/>
        <v>9.4858997164284309E-2</v>
      </c>
      <c r="M259" s="243">
        <f t="shared" si="100"/>
        <v>3.8402336314036764E-2</v>
      </c>
      <c r="N259" s="175">
        <f t="shared" si="101"/>
        <v>1.0537135073882197E-2</v>
      </c>
      <c r="O259" s="243">
        <f t="shared" si="102"/>
        <v>4.0343438338848195E-2</v>
      </c>
      <c r="P259" s="175">
        <f t="shared" si="103"/>
        <v>4.4570269131218899E-2</v>
      </c>
      <c r="Q259" s="244">
        <f t="shared" si="104"/>
        <v>8.1702914303361046E-2</v>
      </c>
    </row>
    <row r="260" spans="1:17" x14ac:dyDescent="0.3">
      <c r="A260" s="220">
        <v>43282</v>
      </c>
      <c r="B260" s="222">
        <f t="shared" si="69"/>
        <v>499903588</v>
      </c>
      <c r="C260" s="9">
        <v>342402386</v>
      </c>
      <c r="D260" s="10">
        <v>46950387</v>
      </c>
      <c r="E260" s="10">
        <v>19324792</v>
      </c>
      <c r="F260" s="10">
        <v>4371134</v>
      </c>
      <c r="G260" s="10">
        <v>19972769</v>
      </c>
      <c r="H260" s="10">
        <v>25046746</v>
      </c>
      <c r="I260" s="11">
        <v>41835374</v>
      </c>
      <c r="J260" s="221"/>
      <c r="K260" s="242">
        <f t="shared" si="98"/>
        <v>0.68493684426205803</v>
      </c>
      <c r="L260" s="175">
        <f t="shared" si="99"/>
        <v>9.3918883814852722E-2</v>
      </c>
      <c r="M260" s="243">
        <f t="shared" si="100"/>
        <v>3.865703800469622E-2</v>
      </c>
      <c r="N260" s="175">
        <f t="shared" si="101"/>
        <v>8.7439540441946184E-3</v>
      </c>
      <c r="O260" s="243">
        <f t="shared" si="102"/>
        <v>3.9953241943924599E-2</v>
      </c>
      <c r="P260" s="175">
        <f t="shared" si="103"/>
        <v>5.0103153090391504E-2</v>
      </c>
      <c r="Q260" s="244">
        <f t="shared" si="104"/>
        <v>8.3686884839882361E-2</v>
      </c>
    </row>
    <row r="261" spans="1:17" x14ac:dyDescent="0.3">
      <c r="A261" s="220">
        <v>43313</v>
      </c>
      <c r="B261" s="222">
        <f t="shared" si="69"/>
        <v>500473342</v>
      </c>
      <c r="C261" s="223">
        <v>343592740</v>
      </c>
      <c r="D261" s="224">
        <v>45177156</v>
      </c>
      <c r="E261" s="224">
        <v>19559812</v>
      </c>
      <c r="F261" s="224">
        <v>3726172</v>
      </c>
      <c r="G261" s="224">
        <v>23546169</v>
      </c>
      <c r="H261" s="224">
        <v>21493317</v>
      </c>
      <c r="I261" s="222">
        <v>43377976</v>
      </c>
      <c r="J261" s="221"/>
      <c r="K261" s="242">
        <f t="shared" si="98"/>
        <v>0.68653554778148407</v>
      </c>
      <c r="L261" s="175">
        <f t="shared" si="99"/>
        <v>9.0268855918403737E-2</v>
      </c>
      <c r="M261" s="243">
        <f t="shared" si="100"/>
        <v>3.9082625104135918E-2</v>
      </c>
      <c r="N261" s="175">
        <f t="shared" si="101"/>
        <v>7.4452956577255617E-3</v>
      </c>
      <c r="O261" s="243">
        <f t="shared" si="102"/>
        <v>4.7047798601828429E-2</v>
      </c>
      <c r="P261" s="175">
        <f t="shared" si="103"/>
        <v>4.2945977730018632E-2</v>
      </c>
      <c r="Q261" s="244">
        <f t="shared" si="104"/>
        <v>8.6673899206403685E-2</v>
      </c>
    </row>
    <row r="262" spans="1:17" x14ac:dyDescent="0.3">
      <c r="A262" s="220">
        <v>43344</v>
      </c>
      <c r="B262" s="222">
        <f>SUM(C262:I262)</f>
        <v>488157157</v>
      </c>
      <c r="C262" s="223">
        <v>345043365</v>
      </c>
      <c r="D262" s="224">
        <v>44972873</v>
      </c>
      <c r="E262" s="224">
        <v>19378087</v>
      </c>
      <c r="F262" s="224">
        <v>3633775</v>
      </c>
      <c r="G262" s="224">
        <v>19001725</v>
      </c>
      <c r="H262" s="224">
        <v>21554928</v>
      </c>
      <c r="I262" s="222">
        <v>34572404</v>
      </c>
      <c r="J262" s="221"/>
      <c r="K262" s="242">
        <f t="shared" si="98"/>
        <v>0.70682844664305511</v>
      </c>
      <c r="L262" s="175">
        <f t="shared" si="99"/>
        <v>9.2127857504709282E-2</v>
      </c>
      <c r="M262" s="243">
        <f t="shared" si="100"/>
        <v>3.9696410719632244E-2</v>
      </c>
      <c r="N262" s="175">
        <f t="shared" si="101"/>
        <v>7.4438630016849267E-3</v>
      </c>
      <c r="O262" s="243">
        <f t="shared" si="102"/>
        <v>3.8925425403524297E-2</v>
      </c>
      <c r="P262" s="175">
        <f t="shared" si="103"/>
        <v>4.415571438605375E-2</v>
      </c>
      <c r="Q262" s="244">
        <f t="shared" si="104"/>
        <v>7.0822282341340331E-2</v>
      </c>
    </row>
    <row r="263" spans="1:17" x14ac:dyDescent="0.3">
      <c r="A263" s="220">
        <v>43374</v>
      </c>
      <c r="B263" s="222">
        <f t="shared" si="69"/>
        <v>508585653</v>
      </c>
      <c r="C263" s="236">
        <v>357329484</v>
      </c>
      <c r="D263" s="224">
        <v>46746862</v>
      </c>
      <c r="E263" s="224">
        <v>18900211</v>
      </c>
      <c r="F263" s="224">
        <v>2526627</v>
      </c>
      <c r="G263" s="224">
        <v>22208211</v>
      </c>
      <c r="H263" s="224">
        <v>25715531</v>
      </c>
      <c r="I263" s="222">
        <v>35158727</v>
      </c>
      <c r="J263" s="221"/>
      <c r="K263" s="242">
        <f t="shared" si="98"/>
        <v>0.70259450279852864</v>
      </c>
      <c r="L263" s="175">
        <f t="shared" si="99"/>
        <v>9.1915416261260513E-2</v>
      </c>
      <c r="M263" s="243">
        <f t="shared" si="100"/>
        <v>3.7162296829478199E-2</v>
      </c>
      <c r="N263" s="175">
        <f t="shared" si="101"/>
        <v>4.9679478473215995E-3</v>
      </c>
      <c r="O263" s="243">
        <f t="shared" si="102"/>
        <v>4.3666609289900675E-2</v>
      </c>
      <c r="P263" s="175">
        <f t="shared" si="103"/>
        <v>5.0562832137146428E-2</v>
      </c>
      <c r="Q263" s="244">
        <f t="shared" si="104"/>
        <v>6.9130394836363976E-2</v>
      </c>
    </row>
    <row r="264" spans="1:17" x14ac:dyDescent="0.3">
      <c r="A264" s="220">
        <v>43405</v>
      </c>
      <c r="B264" s="222">
        <f t="shared" si="69"/>
        <v>518126775</v>
      </c>
      <c r="C264" s="223">
        <v>370126165</v>
      </c>
      <c r="D264" s="224">
        <v>44864776</v>
      </c>
      <c r="E264" s="224">
        <v>20559250</v>
      </c>
      <c r="F264" s="224">
        <v>2563447</v>
      </c>
      <c r="G264" s="224">
        <v>23314385</v>
      </c>
      <c r="H264" s="224">
        <v>22755136</v>
      </c>
      <c r="I264" s="222">
        <v>33943616</v>
      </c>
      <c r="K264" s="242">
        <f t="shared" si="98"/>
        <v>0.71435444539610982</v>
      </c>
      <c r="L264" s="175">
        <f t="shared" si="99"/>
        <v>8.6590344612088421E-2</v>
      </c>
      <c r="M264" s="243">
        <f t="shared" si="100"/>
        <v>3.9679960565635698E-2</v>
      </c>
      <c r="N264" s="175">
        <f t="shared" si="101"/>
        <v>4.9475285271640326E-3</v>
      </c>
      <c r="O264" s="243">
        <f t="shared" si="102"/>
        <v>4.4997452602213037E-2</v>
      </c>
      <c r="P264" s="175">
        <f t="shared" si="103"/>
        <v>4.3918085491721597E-2</v>
      </c>
      <c r="Q264" s="244">
        <f t="shared" si="104"/>
        <v>6.5512182805067348E-2</v>
      </c>
    </row>
    <row r="265" spans="1:17" ht="13.5" thickBot="1" x14ac:dyDescent="0.35">
      <c r="A265" s="237">
        <v>43435</v>
      </c>
      <c r="B265" s="229">
        <f>SUM(C265:I265)</f>
        <v>576731415</v>
      </c>
      <c r="C265" s="230">
        <v>419171589</v>
      </c>
      <c r="D265" s="231">
        <v>47778433</v>
      </c>
      <c r="E265" s="231">
        <v>22419137</v>
      </c>
      <c r="F265" s="231">
        <v>2810036</v>
      </c>
      <c r="G265" s="231">
        <v>23310315</v>
      </c>
      <c r="H265" s="231">
        <v>25880786</v>
      </c>
      <c r="I265" s="229">
        <v>35361119</v>
      </c>
      <c r="K265" s="245">
        <f t="shared" si="98"/>
        <v>0.72680554257652152</v>
      </c>
      <c r="L265" s="180">
        <f t="shared" si="99"/>
        <v>8.2843472294638218E-2</v>
      </c>
      <c r="M265" s="246">
        <f t="shared" si="100"/>
        <v>3.8872751538946426E-2</v>
      </c>
      <c r="N265" s="180">
        <f t="shared" si="101"/>
        <v>4.8723477287950408E-3</v>
      </c>
      <c r="O265" s="246">
        <f t="shared" si="102"/>
        <v>4.041797341662063E-2</v>
      </c>
      <c r="P265" s="180">
        <f t="shared" si="103"/>
        <v>4.4874937149036696E-2</v>
      </c>
      <c r="Q265" s="247">
        <f t="shared" si="104"/>
        <v>6.1312975295441469E-2</v>
      </c>
    </row>
    <row r="266" spans="1:17" x14ac:dyDescent="0.3">
      <c r="A266" s="248">
        <v>43484</v>
      </c>
      <c r="B266" s="233">
        <f>SUM(C266:I266)</f>
        <v>487311953</v>
      </c>
      <c r="C266" s="70">
        <v>336418492</v>
      </c>
      <c r="D266" s="70">
        <v>46340422</v>
      </c>
      <c r="E266" s="70">
        <v>20454668</v>
      </c>
      <c r="F266" s="70">
        <v>2754571</v>
      </c>
      <c r="G266" s="70">
        <v>21743480</v>
      </c>
      <c r="H266" s="70">
        <v>23458730</v>
      </c>
      <c r="I266" s="70">
        <v>36141590</v>
      </c>
      <c r="J266" s="221"/>
      <c r="K266" s="239">
        <f t="shared" si="98"/>
        <v>0.69035551032338416</v>
      </c>
      <c r="L266" s="240">
        <f t="shared" si="99"/>
        <v>9.5093957196654269E-2</v>
      </c>
      <c r="M266" s="239">
        <f t="shared" si="100"/>
        <v>4.1974484463343342E-2</v>
      </c>
      <c r="N266" s="240">
        <f t="shared" si="101"/>
        <v>5.6525824639478937E-3</v>
      </c>
      <c r="O266" s="239">
        <f t="shared" si="102"/>
        <v>4.4619221560526751E-2</v>
      </c>
      <c r="P266" s="240">
        <f t="shared" si="103"/>
        <v>4.8139040825046213E-2</v>
      </c>
      <c r="Q266" s="239">
        <f t="shared" si="104"/>
        <v>7.4165203167097363E-2</v>
      </c>
    </row>
    <row r="267" spans="1:17" x14ac:dyDescent="0.3">
      <c r="A267" s="249">
        <v>43515</v>
      </c>
      <c r="B267" s="226">
        <f t="shared" ref="B267:B277" si="105">SUM(C267:I267)</f>
        <v>464869541</v>
      </c>
      <c r="C267" s="11">
        <v>325846164</v>
      </c>
      <c r="D267" s="11">
        <v>41588737</v>
      </c>
      <c r="E267" s="11">
        <v>19575794</v>
      </c>
      <c r="F267" s="11">
        <v>2819486</v>
      </c>
      <c r="G267" s="11">
        <v>18335134</v>
      </c>
      <c r="H267" s="11">
        <v>22107857</v>
      </c>
      <c r="I267" s="11">
        <v>34596369</v>
      </c>
      <c r="J267" s="221"/>
      <c r="K267" s="175">
        <f t="shared" ref="K267:K278" si="106">C267/$B267</f>
        <v>0.70094109263226601</v>
      </c>
      <c r="L267" s="243">
        <f t="shared" si="99"/>
        <v>8.9463243624301039E-2</v>
      </c>
      <c r="M267" s="175">
        <f t="shared" si="100"/>
        <v>4.2110296058308537E-2</v>
      </c>
      <c r="N267" s="243">
        <f t="shared" si="101"/>
        <v>6.0651123623520001E-3</v>
      </c>
      <c r="O267" s="175">
        <f t="shared" si="102"/>
        <v>3.9441461276551994E-2</v>
      </c>
      <c r="P267" s="243">
        <f t="shared" si="103"/>
        <v>4.7557120977302317E-2</v>
      </c>
      <c r="Q267" s="175">
        <f t="shared" si="104"/>
        <v>7.4421673068918059E-2</v>
      </c>
    </row>
    <row r="268" spans="1:17" x14ac:dyDescent="0.3">
      <c r="A268" s="249">
        <v>43543</v>
      </c>
      <c r="B268" s="226">
        <f t="shared" si="105"/>
        <v>549776256</v>
      </c>
      <c r="C268" s="11">
        <v>387106496</v>
      </c>
      <c r="D268" s="11">
        <v>46292044</v>
      </c>
      <c r="E268" s="11">
        <v>24837664</v>
      </c>
      <c r="F268" s="11">
        <v>3560334</v>
      </c>
      <c r="G268" s="11">
        <v>22992298</v>
      </c>
      <c r="H268" s="11">
        <v>27124699</v>
      </c>
      <c r="I268" s="11">
        <v>37862721</v>
      </c>
      <c r="J268" s="221"/>
      <c r="K268" s="175">
        <f t="shared" si="106"/>
        <v>0.70411643241282507</v>
      </c>
      <c r="L268" s="243">
        <f t="shared" ref="L268:L279" si="107">D268/$B268</f>
        <v>8.4201606553193892E-2</v>
      </c>
      <c r="M268" s="175">
        <f t="shared" ref="M268:M271" si="108">E268/$B268</f>
        <v>4.5177767735389431E-2</v>
      </c>
      <c r="N268" s="243">
        <f t="shared" ref="N268:N271" si="109">F268/$B268</f>
        <v>6.4759690167485156E-3</v>
      </c>
      <c r="O268" s="175">
        <f t="shared" ref="O268:O271" si="110">G268/$B268</f>
        <v>4.1821191346612101E-2</v>
      </c>
      <c r="P268" s="243">
        <f t="shared" ref="P268:P271" si="111">H268/$B268</f>
        <v>4.9337705482864654E-2</v>
      </c>
      <c r="Q268" s="175">
        <f t="shared" ref="Q268:Q271" si="112">I268/$B268</f>
        <v>6.8869327452366375E-2</v>
      </c>
    </row>
    <row r="269" spans="1:17" x14ac:dyDescent="0.3">
      <c r="A269" s="249">
        <v>43574</v>
      </c>
      <c r="B269" s="226">
        <f>SUM(C269:I269)</f>
        <v>516720985</v>
      </c>
      <c r="C269" s="11">
        <v>360013466</v>
      </c>
      <c r="D269" s="11">
        <v>48632238</v>
      </c>
      <c r="E269" s="11">
        <v>22550658</v>
      </c>
      <c r="F269" s="11">
        <v>3162713</v>
      </c>
      <c r="G269" s="11">
        <v>20062205</v>
      </c>
      <c r="H269" s="11">
        <v>21632389</v>
      </c>
      <c r="I269" s="11">
        <v>40667316</v>
      </c>
      <c r="J269" s="221"/>
      <c r="K269" s="175">
        <f t="shared" si="106"/>
        <v>0.69672700829055745</v>
      </c>
      <c r="L269" s="243">
        <f t="shared" si="107"/>
        <v>9.4117017523489971E-2</v>
      </c>
      <c r="M269" s="175">
        <f t="shared" si="108"/>
        <v>4.3641846672822858E-2</v>
      </c>
      <c r="N269" s="243">
        <f t="shared" si="109"/>
        <v>6.1207365131493545E-3</v>
      </c>
      <c r="O269" s="175">
        <f t="shared" si="110"/>
        <v>3.8825992329303213E-2</v>
      </c>
      <c r="P269" s="243">
        <f t="shared" si="111"/>
        <v>4.1864738665490814E-2</v>
      </c>
      <c r="Q269" s="175">
        <f t="shared" si="112"/>
        <v>7.8702660005186359E-2</v>
      </c>
    </row>
    <row r="270" spans="1:17" x14ac:dyDescent="0.3">
      <c r="A270" s="249">
        <v>43604</v>
      </c>
      <c r="B270" s="226">
        <f>SUM(C270:I270)</f>
        <v>538097873</v>
      </c>
      <c r="C270" s="11">
        <v>373610045</v>
      </c>
      <c r="D270" s="11">
        <v>49424744</v>
      </c>
      <c r="E270" s="11">
        <v>23635399</v>
      </c>
      <c r="F270" s="11">
        <v>3095812</v>
      </c>
      <c r="G270" s="11">
        <v>22836583</v>
      </c>
      <c r="H270" s="11">
        <v>22460065</v>
      </c>
      <c r="I270" s="11">
        <v>43035225</v>
      </c>
      <c r="J270" s="221"/>
      <c r="K270" s="175">
        <f t="shared" si="106"/>
        <v>0.69431615277914316</v>
      </c>
      <c r="L270" s="243">
        <f t="shared" si="107"/>
        <v>9.1850844390905073E-2</v>
      </c>
      <c r="M270" s="175">
        <f t="shared" si="108"/>
        <v>4.3923977748189312E-2</v>
      </c>
      <c r="N270" s="243">
        <f t="shared" si="109"/>
        <v>5.7532507659624216E-3</v>
      </c>
      <c r="O270" s="175">
        <f t="shared" si="110"/>
        <v>4.2439459707732385E-2</v>
      </c>
      <c r="P270" s="243">
        <f t="shared" si="111"/>
        <v>4.1739739417256533E-2</v>
      </c>
      <c r="Q270" s="175">
        <f t="shared" si="112"/>
        <v>7.9976575190811056E-2</v>
      </c>
    </row>
    <row r="271" spans="1:17" x14ac:dyDescent="0.3">
      <c r="A271" s="249">
        <v>43635</v>
      </c>
      <c r="B271" s="226">
        <f t="shared" si="105"/>
        <v>537186076</v>
      </c>
      <c r="C271" s="11">
        <v>372989131</v>
      </c>
      <c r="D271" s="11">
        <v>47272097</v>
      </c>
      <c r="E271" s="11">
        <v>22760670</v>
      </c>
      <c r="F271" s="11">
        <v>3418048</v>
      </c>
      <c r="G271" s="11">
        <v>24499517</v>
      </c>
      <c r="H271" s="11">
        <v>22744542</v>
      </c>
      <c r="I271" s="11">
        <v>43502071</v>
      </c>
      <c r="J271" s="221"/>
      <c r="K271" s="175">
        <f t="shared" si="106"/>
        <v>0.69433879183420977</v>
      </c>
      <c r="L271" s="243">
        <f t="shared" si="107"/>
        <v>8.7999483069252149E-2</v>
      </c>
      <c r="M271" s="175">
        <f t="shared" si="108"/>
        <v>4.2370178634339735E-2</v>
      </c>
      <c r="N271" s="243">
        <f t="shared" si="109"/>
        <v>6.3628752730366753E-3</v>
      </c>
      <c r="O271" s="175">
        <f t="shared" si="110"/>
        <v>4.5607133346471922E-2</v>
      </c>
      <c r="P271" s="243">
        <f t="shared" si="111"/>
        <v>4.2340155518103932E-2</v>
      </c>
      <c r="Q271" s="175">
        <f t="shared" si="112"/>
        <v>8.0981382324585793E-2</v>
      </c>
    </row>
    <row r="272" spans="1:17" x14ac:dyDescent="0.3">
      <c r="A272" s="249">
        <v>43665</v>
      </c>
      <c r="B272" s="226">
        <f t="shared" si="105"/>
        <v>525664319</v>
      </c>
      <c r="C272" s="11">
        <v>359168998</v>
      </c>
      <c r="D272" s="11">
        <v>51123253</v>
      </c>
      <c r="E272" s="11">
        <v>22059363</v>
      </c>
      <c r="F272" s="11">
        <v>3076016</v>
      </c>
      <c r="G272" s="11">
        <v>23142892</v>
      </c>
      <c r="H272" s="11">
        <v>23942055</v>
      </c>
      <c r="I272" s="11">
        <v>43151742</v>
      </c>
      <c r="J272" s="221"/>
      <c r="K272" s="175">
        <f t="shared" si="106"/>
        <v>0.68326683972628544</v>
      </c>
      <c r="L272" s="243">
        <f t="shared" si="107"/>
        <v>9.725456180334735E-2</v>
      </c>
      <c r="M272" s="175">
        <f t="shared" ref="M272:Q283" si="113">E272/$B272</f>
        <v>4.1964733391006516E-2</v>
      </c>
      <c r="N272" s="243">
        <f t="shared" si="113"/>
        <v>5.8516735658445933E-3</v>
      </c>
      <c r="O272" s="175">
        <f t="shared" si="113"/>
        <v>4.4025989901741835E-2</v>
      </c>
      <c r="P272" s="243">
        <f t="shared" si="113"/>
        <v>4.5546281409296112E-2</v>
      </c>
      <c r="Q272" s="175">
        <f t="shared" si="113"/>
        <v>8.2089920202478114E-2</v>
      </c>
    </row>
    <row r="273" spans="1:17" x14ac:dyDescent="0.3">
      <c r="A273" s="249">
        <v>43696</v>
      </c>
      <c r="B273" s="226">
        <f t="shared" si="105"/>
        <v>527159176</v>
      </c>
      <c r="C273" s="222">
        <v>366540640</v>
      </c>
      <c r="D273" s="222">
        <v>48627470</v>
      </c>
      <c r="E273" s="222">
        <v>23448139</v>
      </c>
      <c r="F273" s="222">
        <v>2530908</v>
      </c>
      <c r="G273" s="222">
        <v>20442361</v>
      </c>
      <c r="H273" s="222">
        <v>22994501</v>
      </c>
      <c r="I273" s="222">
        <v>42575157</v>
      </c>
      <c r="J273" s="221"/>
      <c r="K273" s="175">
        <f t="shared" si="106"/>
        <v>0.69531302249398763</v>
      </c>
      <c r="L273" s="243">
        <f t="shared" si="107"/>
        <v>9.2244377436389344E-2</v>
      </c>
      <c r="M273" s="175">
        <f t="shared" si="113"/>
        <v>4.4480187517403659E-2</v>
      </c>
      <c r="N273" s="243">
        <f t="shared" si="113"/>
        <v>4.8010318613898127E-3</v>
      </c>
      <c r="O273" s="175">
        <f t="shared" si="113"/>
        <v>3.8778346144163485E-2</v>
      </c>
      <c r="P273" s="243">
        <f t="shared" si="113"/>
        <v>4.3619654265488875E-2</v>
      </c>
      <c r="Q273" s="175">
        <f t="shared" si="113"/>
        <v>8.0763380281177161E-2</v>
      </c>
    </row>
    <row r="274" spans="1:17" x14ac:dyDescent="0.3">
      <c r="A274" s="249">
        <v>43727</v>
      </c>
      <c r="B274" s="226">
        <f t="shared" si="105"/>
        <v>531175922</v>
      </c>
      <c r="C274" s="222">
        <v>371822227</v>
      </c>
      <c r="D274" s="222">
        <v>36980191</v>
      </c>
      <c r="E274" s="222">
        <v>22576502</v>
      </c>
      <c r="F274" s="222">
        <v>2531345</v>
      </c>
      <c r="G274" s="222">
        <v>22001810</v>
      </c>
      <c r="H274" s="222">
        <v>33777190</v>
      </c>
      <c r="I274" s="222">
        <v>41486657</v>
      </c>
      <c r="J274" s="221"/>
      <c r="K274" s="175">
        <f t="shared" si="106"/>
        <v>0.69999827100596623</v>
      </c>
      <c r="L274" s="243">
        <f t="shared" si="107"/>
        <v>6.9619479099807535E-2</v>
      </c>
      <c r="M274" s="175">
        <f t="shared" si="113"/>
        <v>4.2502871581592508E-2</v>
      </c>
      <c r="N274" s="243">
        <f t="shared" si="113"/>
        <v>4.7655492185506108E-3</v>
      </c>
      <c r="O274" s="175">
        <f t="shared" si="113"/>
        <v>4.1420947540615365E-2</v>
      </c>
      <c r="P274" s="243">
        <f t="shared" si="113"/>
        <v>6.3589459915315963E-2</v>
      </c>
      <c r="Q274" s="175">
        <f t="shared" si="113"/>
        <v>7.8103421638151732E-2</v>
      </c>
    </row>
    <row r="275" spans="1:17" x14ac:dyDescent="0.3">
      <c r="A275" s="249">
        <v>43757</v>
      </c>
      <c r="B275" s="226">
        <f>SUM(C275:I275)</f>
        <v>534462778</v>
      </c>
      <c r="C275" s="222">
        <v>373510797</v>
      </c>
      <c r="D275" s="222">
        <v>48755649</v>
      </c>
      <c r="E275" s="222">
        <v>23017913</v>
      </c>
      <c r="F275" s="222">
        <v>2727385</v>
      </c>
      <c r="G275" s="222">
        <v>20043393</v>
      </c>
      <c r="H275" s="222">
        <v>24577539</v>
      </c>
      <c r="I275" s="222">
        <v>41830102</v>
      </c>
      <c r="J275" s="221"/>
      <c r="K275" s="175">
        <f t="shared" si="106"/>
        <v>0.69885277773263377</v>
      </c>
      <c r="L275" s="243">
        <f t="shared" si="107"/>
        <v>9.1223656738916997E-2</v>
      </c>
      <c r="M275" s="175">
        <f t="shared" si="113"/>
        <v>4.3067382701812776E-2</v>
      </c>
      <c r="N275" s="243">
        <f t="shared" si="113"/>
        <v>5.1030401222814433E-3</v>
      </c>
      <c r="O275" s="175">
        <f t="shared" si="113"/>
        <v>3.7501943680725319E-2</v>
      </c>
      <c r="P275" s="243">
        <f t="shared" si="113"/>
        <v>4.5985501725622512E-2</v>
      </c>
      <c r="Q275" s="175">
        <f t="shared" si="113"/>
        <v>7.8265697298007156E-2</v>
      </c>
    </row>
    <row r="276" spans="1:17" x14ac:dyDescent="0.3">
      <c r="A276" s="249">
        <v>43788</v>
      </c>
      <c r="B276" s="226">
        <f>SUM(C276:I276)</f>
        <v>520264494</v>
      </c>
      <c r="C276" s="222">
        <v>370720293</v>
      </c>
      <c r="D276" s="222">
        <v>44165567</v>
      </c>
      <c r="E276" s="222">
        <v>22164576</v>
      </c>
      <c r="F276" s="222">
        <v>2529498</v>
      </c>
      <c r="G276" s="222">
        <v>21104619</v>
      </c>
      <c r="H276" s="222">
        <v>23657043</v>
      </c>
      <c r="I276" s="222">
        <v>35922898</v>
      </c>
      <c r="K276" s="175">
        <f t="shared" si="106"/>
        <v>0.71256120161065617</v>
      </c>
      <c r="L276" s="243">
        <f t="shared" si="107"/>
        <v>8.4890603739720127E-2</v>
      </c>
      <c r="M276" s="175">
        <f t="shared" si="113"/>
        <v>4.2602515173753144E-2</v>
      </c>
      <c r="N276" s="243">
        <f t="shared" si="113"/>
        <v>4.8619462392142411E-3</v>
      </c>
      <c r="O276" s="175">
        <f t="shared" si="113"/>
        <v>4.0565172606224401E-2</v>
      </c>
      <c r="P276" s="243">
        <f t="shared" si="113"/>
        <v>4.5471184893120922E-2</v>
      </c>
      <c r="Q276" s="175">
        <f t="shared" si="113"/>
        <v>6.9047375737311026E-2</v>
      </c>
    </row>
    <row r="277" spans="1:17" ht="13.5" thickBot="1" x14ac:dyDescent="0.35">
      <c r="A277" s="250">
        <v>43818</v>
      </c>
      <c r="B277" s="251">
        <f t="shared" si="105"/>
        <v>607933364</v>
      </c>
      <c r="C277" s="251">
        <v>433474884</v>
      </c>
      <c r="D277" s="251">
        <v>49324681</v>
      </c>
      <c r="E277" s="251">
        <v>25697731</v>
      </c>
      <c r="F277" s="251">
        <v>2739883</v>
      </c>
      <c r="G277" s="251">
        <v>24647195</v>
      </c>
      <c r="H277" s="251">
        <v>26631846</v>
      </c>
      <c r="I277" s="251">
        <v>45417144</v>
      </c>
      <c r="K277" s="180">
        <f t="shared" si="106"/>
        <v>0.71303025902029615</v>
      </c>
      <c r="L277" s="246">
        <f t="shared" si="107"/>
        <v>8.1135012356387134E-2</v>
      </c>
      <c r="M277" s="180">
        <f t="shared" si="113"/>
        <v>4.2270637740487622E-2</v>
      </c>
      <c r="N277" s="246">
        <f t="shared" si="113"/>
        <v>4.50688046132635E-3</v>
      </c>
      <c r="O277" s="180">
        <f t="shared" si="113"/>
        <v>4.054259308590933E-2</v>
      </c>
      <c r="P277" s="246">
        <f t="shared" si="113"/>
        <v>4.3807179498705717E-2</v>
      </c>
      <c r="Q277" s="180">
        <f t="shared" si="113"/>
        <v>7.4707437836887658E-2</v>
      </c>
    </row>
    <row r="278" spans="1:17" x14ac:dyDescent="0.3">
      <c r="A278" s="248">
        <v>43849</v>
      </c>
      <c r="B278" s="233">
        <f>SUM(C278:I278)</f>
        <v>509315971</v>
      </c>
      <c r="C278" s="233">
        <v>347657513</v>
      </c>
      <c r="D278" s="233">
        <v>45429312</v>
      </c>
      <c r="E278" s="233">
        <v>22155756</v>
      </c>
      <c r="F278" s="233">
        <v>2620263</v>
      </c>
      <c r="G278" s="233">
        <v>21141370</v>
      </c>
      <c r="H278" s="233">
        <v>24775489</v>
      </c>
      <c r="I278" s="233">
        <v>45536268</v>
      </c>
      <c r="K278" s="234">
        <f t="shared" si="106"/>
        <v>0.68259691978125692</v>
      </c>
      <c r="L278" s="252">
        <f t="shared" si="107"/>
        <v>8.9196715961612758E-2</v>
      </c>
      <c r="M278" s="234">
        <f t="shared" si="113"/>
        <v>4.3501003819886107E-2</v>
      </c>
      <c r="N278" s="252">
        <f t="shared" si="113"/>
        <v>5.1446707921908065E-3</v>
      </c>
      <c r="O278" s="234">
        <f t="shared" si="113"/>
        <v>4.1509340377625818E-2</v>
      </c>
      <c r="P278" s="252">
        <f t="shared" si="113"/>
        <v>4.8644634000687956E-2</v>
      </c>
      <c r="Q278" s="234">
        <f t="shared" si="113"/>
        <v>8.9406715266739586E-2</v>
      </c>
    </row>
    <row r="279" spans="1:17" x14ac:dyDescent="0.3">
      <c r="A279" s="249">
        <v>43880</v>
      </c>
      <c r="B279" s="222">
        <f t="shared" ref="B279:B280" si="114">SUM(C279:I279)</f>
        <v>465512402</v>
      </c>
      <c r="C279" s="222">
        <v>321243146</v>
      </c>
      <c r="D279" s="222">
        <v>40554902</v>
      </c>
      <c r="E279" s="222">
        <v>20448964</v>
      </c>
      <c r="F279" s="222">
        <v>2148016</v>
      </c>
      <c r="G279" s="222">
        <v>18304040</v>
      </c>
      <c r="H279" s="222">
        <v>22653160</v>
      </c>
      <c r="I279" s="222">
        <v>40160174</v>
      </c>
      <c r="K279" s="175">
        <f t="shared" ref="K279:K290" si="115">C279/$B279</f>
        <v>0.69008504310482366</v>
      </c>
      <c r="L279" s="243">
        <f t="shared" si="107"/>
        <v>8.711884329131149E-2</v>
      </c>
      <c r="M279" s="175">
        <f t="shared" si="113"/>
        <v>4.3927860809173457E-2</v>
      </c>
      <c r="N279" s="243">
        <f t="shared" si="113"/>
        <v>4.6143045615356128E-3</v>
      </c>
      <c r="O279" s="175">
        <f t="shared" si="113"/>
        <v>3.9320198390761674E-2</v>
      </c>
      <c r="P279" s="243">
        <f t="shared" si="113"/>
        <v>4.86628495882694E-2</v>
      </c>
      <c r="Q279" s="175">
        <f t="shared" si="113"/>
        <v>8.6270900254124705E-2</v>
      </c>
    </row>
    <row r="280" spans="1:17" x14ac:dyDescent="0.3">
      <c r="A280" s="249">
        <v>43909</v>
      </c>
      <c r="B280" s="222">
        <f t="shared" si="114"/>
        <v>509381874</v>
      </c>
      <c r="C280" s="222">
        <v>343692936</v>
      </c>
      <c r="D280" s="222">
        <v>46200231</v>
      </c>
      <c r="E280" s="222">
        <v>24829681</v>
      </c>
      <c r="F280" s="222">
        <v>2747535</v>
      </c>
      <c r="G280" s="222">
        <v>20958355</v>
      </c>
      <c r="H280" s="222">
        <v>26454607</v>
      </c>
      <c r="I280" s="222">
        <v>44498529</v>
      </c>
      <c r="K280" s="175">
        <f t="shared" si="115"/>
        <v>0.67472549288237926</v>
      </c>
      <c r="L280" s="243">
        <f t="shared" ref="L280:L291" si="116">D280/$B280</f>
        <v>9.0698616024958906E-2</v>
      </c>
      <c r="M280" s="175">
        <f t="shared" si="113"/>
        <v>4.8744728203658071E-2</v>
      </c>
      <c r="N280" s="243">
        <f t="shared" si="113"/>
        <v>5.3938609523431925E-3</v>
      </c>
      <c r="O280" s="175">
        <f t="shared" si="113"/>
        <v>4.1144681563600356E-2</v>
      </c>
      <c r="P280" s="243">
        <f t="shared" si="113"/>
        <v>5.1934723927769759E-2</v>
      </c>
      <c r="Q280" s="175">
        <f t="shared" si="113"/>
        <v>8.7357896445290475E-2</v>
      </c>
    </row>
    <row r="281" spans="1:17" x14ac:dyDescent="0.3">
      <c r="A281" s="249">
        <v>43940</v>
      </c>
      <c r="B281" s="222">
        <f>SUM(C281:I281)</f>
        <v>444706470</v>
      </c>
      <c r="C281" s="222">
        <v>294563721</v>
      </c>
      <c r="D281" s="222">
        <v>42262429</v>
      </c>
      <c r="E281" s="222">
        <v>23687533</v>
      </c>
      <c r="F281" s="222">
        <v>3101213</v>
      </c>
      <c r="G281" s="222">
        <v>20073266</v>
      </c>
      <c r="H281" s="222">
        <v>24688212</v>
      </c>
      <c r="I281" s="222">
        <v>36330096</v>
      </c>
      <c r="K281" s="175">
        <f t="shared" si="115"/>
        <v>0.66237786241338026</v>
      </c>
      <c r="L281" s="243">
        <f t="shared" si="116"/>
        <v>9.5034436984917259E-2</v>
      </c>
      <c r="M281" s="175">
        <f t="shared" si="113"/>
        <v>5.3265546147776982E-2</v>
      </c>
      <c r="N281" s="243">
        <f t="shared" si="113"/>
        <v>6.9736179012641758E-3</v>
      </c>
      <c r="O281" s="175">
        <f t="shared" si="113"/>
        <v>4.5138236913890642E-2</v>
      </c>
      <c r="P281" s="243">
        <f t="shared" si="113"/>
        <v>5.551574727482602E-2</v>
      </c>
      <c r="Q281" s="175">
        <f t="shared" si="113"/>
        <v>8.1694552363944697E-2</v>
      </c>
    </row>
    <row r="282" spans="1:17" x14ac:dyDescent="0.3">
      <c r="A282" s="249">
        <v>43970</v>
      </c>
      <c r="B282" s="222">
        <f>SUM(C282:I282)</f>
        <v>489808557</v>
      </c>
      <c r="C282" s="222">
        <v>325434468</v>
      </c>
      <c r="D282" s="222">
        <v>44156794</v>
      </c>
      <c r="E282" s="222">
        <v>25390404</v>
      </c>
      <c r="F282" s="222">
        <v>2782975</v>
      </c>
      <c r="G282" s="222">
        <v>20714996</v>
      </c>
      <c r="H282" s="222">
        <v>25205127</v>
      </c>
      <c r="I282" s="222">
        <v>46123793</v>
      </c>
      <c r="K282" s="175">
        <f t="shared" si="115"/>
        <v>0.66441156110712862</v>
      </c>
      <c r="L282" s="243">
        <f t="shared" si="116"/>
        <v>9.0151128168224307E-2</v>
      </c>
      <c r="M282" s="175">
        <f t="shared" si="113"/>
        <v>5.1837403894109589E-2</v>
      </c>
      <c r="N282" s="243">
        <f t="shared" si="113"/>
        <v>5.6817606802242945E-3</v>
      </c>
      <c r="O282" s="175">
        <f t="shared" si="113"/>
        <v>4.2292025535192929E-2</v>
      </c>
      <c r="P282" s="243">
        <f t="shared" si="113"/>
        <v>5.1459139779789512E-2</v>
      </c>
      <c r="Q282" s="175">
        <f t="shared" si="113"/>
        <v>9.4166980835330732E-2</v>
      </c>
    </row>
    <row r="283" spans="1:17" x14ac:dyDescent="0.3">
      <c r="A283" s="249">
        <v>44001</v>
      </c>
      <c r="B283" s="222">
        <f t="shared" ref="B283:B286" si="117">SUM(C283:I283)</f>
        <v>562454973</v>
      </c>
      <c r="C283" s="222">
        <v>382542064</v>
      </c>
      <c r="D283" s="222">
        <v>45443132</v>
      </c>
      <c r="E283" s="222">
        <v>26931832</v>
      </c>
      <c r="F283" s="222">
        <v>3322522</v>
      </c>
      <c r="G283" s="222">
        <v>23446028</v>
      </c>
      <c r="H283" s="222">
        <v>27689909</v>
      </c>
      <c r="I283" s="222">
        <v>53079486</v>
      </c>
      <c r="K283" s="175">
        <f t="shared" si="115"/>
        <v>0.68012922342852145</v>
      </c>
      <c r="L283" s="243">
        <f t="shared" si="116"/>
        <v>8.0794257640957864E-2</v>
      </c>
      <c r="M283" s="175">
        <f t="shared" si="113"/>
        <v>4.7882645354439778E-2</v>
      </c>
      <c r="N283" s="243">
        <f t="shared" si="113"/>
        <v>5.9071786356132017E-3</v>
      </c>
      <c r="O283" s="175">
        <f t="shared" si="113"/>
        <v>4.1685164369593013E-2</v>
      </c>
      <c r="P283" s="243">
        <f t="shared" si="113"/>
        <v>4.923044568760529E-2</v>
      </c>
      <c r="Q283" s="175">
        <f t="shared" si="113"/>
        <v>9.4371084883269396E-2</v>
      </c>
    </row>
    <row r="284" spans="1:17" x14ac:dyDescent="0.3">
      <c r="A284" s="249">
        <v>44031</v>
      </c>
      <c r="B284" s="222">
        <f t="shared" si="117"/>
        <v>536573964</v>
      </c>
      <c r="C284" s="222">
        <v>367597906</v>
      </c>
      <c r="D284" s="222">
        <v>44770677</v>
      </c>
      <c r="E284" s="222">
        <v>25875895</v>
      </c>
      <c r="F284" s="222">
        <v>2947993</v>
      </c>
      <c r="G284" s="222">
        <v>22681699</v>
      </c>
      <c r="H284" s="222">
        <v>26727215</v>
      </c>
      <c r="I284" s="222">
        <v>45972579</v>
      </c>
      <c r="K284" s="175">
        <f t="shared" si="115"/>
        <v>0.6850833820926876</v>
      </c>
      <c r="L284" s="243">
        <f t="shared" si="116"/>
        <v>8.3438034649031156E-2</v>
      </c>
      <c r="M284" s="175">
        <f t="shared" ref="M284:M295" si="118">E284/$B284</f>
        <v>4.8224283577054064E-2</v>
      </c>
      <c r="N284" s="243">
        <f t="shared" ref="N284:N295" si="119">F284/$B284</f>
        <v>5.4941036982554745E-3</v>
      </c>
      <c r="O284" s="175">
        <f t="shared" ref="O284:O295" si="120">G284/$B284</f>
        <v>4.2271337265257246E-2</v>
      </c>
      <c r="P284" s="243">
        <f t="shared" ref="P284:P295" si="121">H284/$B284</f>
        <v>4.9810868199337381E-2</v>
      </c>
      <c r="Q284" s="175">
        <f t="shared" ref="Q284:Q295" si="122">I284/$B284</f>
        <v>8.5677990518377073E-2</v>
      </c>
    </row>
    <row r="285" spans="1:17" x14ac:dyDescent="0.3">
      <c r="A285" s="249">
        <v>44062</v>
      </c>
      <c r="B285" s="222">
        <f t="shared" si="117"/>
        <v>517483080</v>
      </c>
      <c r="C285" s="222">
        <v>355732415</v>
      </c>
      <c r="D285" s="222">
        <v>42777281</v>
      </c>
      <c r="E285" s="222">
        <v>24555127</v>
      </c>
      <c r="F285" s="222">
        <v>3025454</v>
      </c>
      <c r="G285" s="222">
        <v>20524301</v>
      </c>
      <c r="H285" s="222">
        <v>26871067</v>
      </c>
      <c r="I285" s="222">
        <v>43997435</v>
      </c>
      <c r="K285" s="175">
        <f t="shared" si="115"/>
        <v>0.68742810876058014</v>
      </c>
      <c r="L285" s="243">
        <f t="shared" si="116"/>
        <v>8.2664115317548165E-2</v>
      </c>
      <c r="M285" s="175">
        <f t="shared" si="118"/>
        <v>4.7451072216699336E-2</v>
      </c>
      <c r="N285" s="243">
        <f t="shared" si="119"/>
        <v>5.8464790771516626E-3</v>
      </c>
      <c r="O285" s="175">
        <f t="shared" si="120"/>
        <v>3.9661781791976658E-2</v>
      </c>
      <c r="P285" s="243">
        <f t="shared" si="121"/>
        <v>5.192646491939408E-2</v>
      </c>
      <c r="Q285" s="175">
        <f t="shared" si="122"/>
        <v>8.5021977916649949E-2</v>
      </c>
    </row>
    <row r="286" spans="1:17" x14ac:dyDescent="0.3">
      <c r="A286" s="249">
        <v>44093</v>
      </c>
      <c r="B286" s="222">
        <f t="shared" si="117"/>
        <v>602102003</v>
      </c>
      <c r="C286" s="222">
        <v>420413631</v>
      </c>
      <c r="D286" s="222">
        <v>47895926</v>
      </c>
      <c r="E286" s="222">
        <v>27395200</v>
      </c>
      <c r="F286" s="222">
        <v>3639996</v>
      </c>
      <c r="G286" s="222">
        <v>25756246</v>
      </c>
      <c r="H286" s="222">
        <v>30809842</v>
      </c>
      <c r="I286" s="222">
        <v>46191162</v>
      </c>
      <c r="K286" s="175">
        <f t="shared" si="115"/>
        <v>0.69824320282156582</v>
      </c>
      <c r="L286" s="243">
        <f t="shared" si="116"/>
        <v>7.9547860265131859E-2</v>
      </c>
      <c r="M286" s="175">
        <f t="shared" si="118"/>
        <v>4.5499267339258465E-2</v>
      </c>
      <c r="N286" s="243">
        <f t="shared" si="119"/>
        <v>6.0454806359446708E-3</v>
      </c>
      <c r="O286" s="175">
        <f t="shared" si="120"/>
        <v>4.2777213614418087E-2</v>
      </c>
      <c r="P286" s="243">
        <f t="shared" si="121"/>
        <v>5.1170469200382318E-2</v>
      </c>
      <c r="Q286" s="175">
        <f t="shared" si="122"/>
        <v>7.6716506123298847E-2</v>
      </c>
    </row>
    <row r="287" spans="1:17" x14ac:dyDescent="0.3">
      <c r="A287" s="249">
        <v>44123</v>
      </c>
      <c r="B287" s="222">
        <f>SUM(C287:I287)</f>
        <v>568775556</v>
      </c>
      <c r="C287" s="222">
        <v>392017128</v>
      </c>
      <c r="D287" s="222">
        <v>47057757</v>
      </c>
      <c r="E287" s="222">
        <v>27850713</v>
      </c>
      <c r="F287" s="222">
        <v>3160643</v>
      </c>
      <c r="G287" s="222">
        <v>23203574</v>
      </c>
      <c r="H287" s="222">
        <v>29680077</v>
      </c>
      <c r="I287" s="222">
        <v>45805664</v>
      </c>
      <c r="K287" s="175">
        <f t="shared" si="115"/>
        <v>0.68922991479612739</v>
      </c>
      <c r="L287" s="243">
        <f t="shared" si="116"/>
        <v>8.2735195814216747E-2</v>
      </c>
      <c r="M287" s="175">
        <f t="shared" si="118"/>
        <v>4.8966086369576681E-2</v>
      </c>
      <c r="N287" s="243">
        <f t="shared" si="119"/>
        <v>5.5569248127111852E-3</v>
      </c>
      <c r="O287" s="175">
        <f t="shared" si="120"/>
        <v>4.0795659650324355E-2</v>
      </c>
      <c r="P287" s="243">
        <f t="shared" si="121"/>
        <v>5.2182406024495184E-2</v>
      </c>
      <c r="Q287" s="175">
        <f t="shared" si="122"/>
        <v>8.0533812532548432E-2</v>
      </c>
    </row>
    <row r="288" spans="1:17" x14ac:dyDescent="0.3">
      <c r="A288" s="249">
        <v>44154</v>
      </c>
      <c r="B288" s="222">
        <f>SUM(C288:I288)</f>
        <v>551417710</v>
      </c>
      <c r="C288" s="222">
        <v>379573147</v>
      </c>
      <c r="D288" s="222">
        <v>44961134</v>
      </c>
      <c r="E288" s="222">
        <v>27956563</v>
      </c>
      <c r="F288" s="222">
        <v>3030560</v>
      </c>
      <c r="G288" s="222">
        <v>23098516</v>
      </c>
      <c r="H288" s="222">
        <v>29611767</v>
      </c>
      <c r="I288" s="222">
        <v>43186023</v>
      </c>
      <c r="K288" s="175">
        <f t="shared" si="115"/>
        <v>0.68835864375846756</v>
      </c>
      <c r="L288" s="243">
        <f t="shared" si="116"/>
        <v>8.1537341265299587E-2</v>
      </c>
      <c r="M288" s="175">
        <f t="shared" si="118"/>
        <v>5.0699428932015983E-2</v>
      </c>
      <c r="N288" s="243">
        <f t="shared" si="119"/>
        <v>5.4959424498716228E-3</v>
      </c>
      <c r="O288" s="175">
        <f t="shared" si="120"/>
        <v>4.1889325607623304E-2</v>
      </c>
      <c r="P288" s="243">
        <f t="shared" si="121"/>
        <v>5.3701153341629164E-2</v>
      </c>
      <c r="Q288" s="175">
        <f t="shared" si="122"/>
        <v>7.8318164645092739E-2</v>
      </c>
    </row>
    <row r="289" spans="1:17" ht="13.5" thickBot="1" x14ac:dyDescent="0.35">
      <c r="A289" s="253">
        <v>44184</v>
      </c>
      <c r="B289" s="229">
        <f t="shared" ref="B289" si="123">SUM(C289:I289)</f>
        <v>667532189</v>
      </c>
      <c r="C289" s="229">
        <v>466816540</v>
      </c>
      <c r="D289" s="229">
        <v>52261276</v>
      </c>
      <c r="E289" s="229">
        <v>33502194</v>
      </c>
      <c r="F289" s="229">
        <v>3415351</v>
      </c>
      <c r="G289" s="229">
        <v>26515085</v>
      </c>
      <c r="H289" s="229">
        <v>36123117</v>
      </c>
      <c r="I289" s="229">
        <v>48898626</v>
      </c>
      <c r="K289" s="180">
        <f t="shared" si="115"/>
        <v>0.69931689840952371</v>
      </c>
      <c r="L289" s="246">
        <f t="shared" si="116"/>
        <v>7.8290271032907449E-2</v>
      </c>
      <c r="M289" s="180">
        <f t="shared" si="118"/>
        <v>5.0188132575581308E-2</v>
      </c>
      <c r="N289" s="246">
        <f t="shared" si="119"/>
        <v>5.1163839830950832E-3</v>
      </c>
      <c r="O289" s="180">
        <f t="shared" si="120"/>
        <v>3.9721058305399563E-2</v>
      </c>
      <c r="P289" s="246">
        <f t="shared" si="121"/>
        <v>5.411441964186689E-2</v>
      </c>
      <c r="Q289" s="180">
        <f t="shared" si="122"/>
        <v>7.3252836051625969E-2</v>
      </c>
    </row>
    <row r="290" spans="1:17" x14ac:dyDescent="0.3">
      <c r="A290" s="248">
        <v>44215</v>
      </c>
      <c r="B290" s="233">
        <f>SUM(C290:I290)</f>
        <v>538076695</v>
      </c>
      <c r="C290" s="233">
        <v>360753463</v>
      </c>
      <c r="D290" s="233">
        <v>42946748</v>
      </c>
      <c r="E290" s="233">
        <v>31444003</v>
      </c>
      <c r="F290" s="233">
        <v>2991266</v>
      </c>
      <c r="G290" s="233">
        <v>22579068</v>
      </c>
      <c r="H290" s="233">
        <v>29664025</v>
      </c>
      <c r="I290" s="233">
        <v>47698122</v>
      </c>
      <c r="K290" s="239">
        <f t="shared" si="115"/>
        <v>0.67044989376467978</v>
      </c>
      <c r="L290" s="239">
        <f t="shared" si="116"/>
        <v>7.9815291015344944E-2</v>
      </c>
      <c r="M290" s="239">
        <f t="shared" si="118"/>
        <v>5.8437771589419978E-2</v>
      </c>
      <c r="N290" s="239">
        <f t="shared" si="119"/>
        <v>5.5591814843421157E-3</v>
      </c>
      <c r="O290" s="239">
        <f t="shared" si="120"/>
        <v>4.1962545878334312E-2</v>
      </c>
      <c r="P290" s="239">
        <f t="shared" si="121"/>
        <v>5.5129733875576972E-2</v>
      </c>
      <c r="Q290" s="239">
        <f t="shared" si="122"/>
        <v>8.86455823923019E-2</v>
      </c>
    </row>
    <row r="291" spans="1:17" x14ac:dyDescent="0.3">
      <c r="A291" s="249">
        <v>44246</v>
      </c>
      <c r="B291" s="222">
        <f>SUM(C291:I291)</f>
        <v>530764530</v>
      </c>
      <c r="C291" s="222">
        <v>361927271</v>
      </c>
      <c r="D291" s="222">
        <v>43524076</v>
      </c>
      <c r="E291" s="222">
        <v>29546549</v>
      </c>
      <c r="F291" s="222">
        <v>2987875</v>
      </c>
      <c r="G291" s="222">
        <v>21645490</v>
      </c>
      <c r="H291" s="222">
        <v>28827531</v>
      </c>
      <c r="I291" s="222">
        <v>42305738</v>
      </c>
      <c r="K291" s="175">
        <f t="shared" ref="K291:K302" si="124">C291/$B291</f>
        <v>0.68189799909952531</v>
      </c>
      <c r="L291" s="175">
        <f t="shared" si="116"/>
        <v>8.2002608576726102E-2</v>
      </c>
      <c r="M291" s="175">
        <f t="shared" si="118"/>
        <v>5.5667904183423864E-2</v>
      </c>
      <c r="N291" s="175">
        <f t="shared" si="119"/>
        <v>5.6293795668674396E-3</v>
      </c>
      <c r="O291" s="175">
        <f t="shared" si="120"/>
        <v>4.0781719155196752E-2</v>
      </c>
      <c r="P291" s="175">
        <f t="shared" si="121"/>
        <v>5.4313220591436284E-2</v>
      </c>
      <c r="Q291" s="175">
        <f t="shared" si="122"/>
        <v>7.9707168826824201E-2</v>
      </c>
    </row>
    <row r="292" spans="1:17" x14ac:dyDescent="0.3">
      <c r="A292" s="249">
        <v>44274</v>
      </c>
      <c r="B292" s="222">
        <f>SUM(C292:I292)</f>
        <v>697969578</v>
      </c>
      <c r="C292" s="222">
        <v>473622180</v>
      </c>
      <c r="D292" s="222">
        <v>60039985</v>
      </c>
      <c r="E292" s="222">
        <v>40411749</v>
      </c>
      <c r="F292" s="222">
        <v>3727932</v>
      </c>
      <c r="G292" s="222">
        <v>27160221</v>
      </c>
      <c r="H292" s="222">
        <v>35321839</v>
      </c>
      <c r="I292" s="222">
        <v>57685672</v>
      </c>
      <c r="K292" s="175">
        <f t="shared" si="124"/>
        <v>0.678571380370392</v>
      </c>
      <c r="L292" s="175">
        <f t="shared" ref="L292:L303" si="125">D292/$B292</f>
        <v>8.6020919668220841E-2</v>
      </c>
      <c r="M292" s="175">
        <f t="shared" si="118"/>
        <v>5.7899012039748239E-2</v>
      </c>
      <c r="N292" s="175">
        <f t="shared" si="119"/>
        <v>5.3411095805668482E-3</v>
      </c>
      <c r="O292" s="175">
        <f t="shared" si="120"/>
        <v>3.8913187416887672E-2</v>
      </c>
      <c r="P292" s="175">
        <f t="shared" si="121"/>
        <v>5.0606559531166273E-2</v>
      </c>
      <c r="Q292" s="175">
        <f t="shared" si="122"/>
        <v>8.2647831393018109E-2</v>
      </c>
    </row>
    <row r="293" spans="1:17" x14ac:dyDescent="0.3">
      <c r="A293" s="249">
        <v>44305</v>
      </c>
      <c r="B293" s="222">
        <f>SUM(C293:I293)</f>
        <v>659701559</v>
      </c>
      <c r="C293" s="222">
        <v>445138028</v>
      </c>
      <c r="D293" s="222">
        <v>53256209</v>
      </c>
      <c r="E293" s="222">
        <v>40227481</v>
      </c>
      <c r="F293" s="222">
        <v>4563038</v>
      </c>
      <c r="G293" s="222">
        <v>27051033</v>
      </c>
      <c r="H293" s="222">
        <v>32712617</v>
      </c>
      <c r="I293" s="222">
        <v>56753153</v>
      </c>
      <c r="K293" s="175">
        <f t="shared" si="124"/>
        <v>0.67475667129657335</v>
      </c>
      <c r="L293" s="175">
        <f t="shared" si="125"/>
        <v>8.0727729491389608E-2</v>
      </c>
      <c r="M293" s="175">
        <f t="shared" si="118"/>
        <v>6.097830215981042E-2</v>
      </c>
      <c r="N293" s="175">
        <f t="shared" si="119"/>
        <v>6.9168216108460041E-3</v>
      </c>
      <c r="O293" s="175">
        <f t="shared" si="120"/>
        <v>4.1004955393776778E-2</v>
      </c>
      <c r="P293" s="175">
        <f t="shared" si="121"/>
        <v>4.9586993624188176E-2</v>
      </c>
      <c r="Q293" s="175">
        <f t="shared" si="122"/>
        <v>8.6028526423415658E-2</v>
      </c>
    </row>
    <row r="294" spans="1:17" x14ac:dyDescent="0.3">
      <c r="A294" s="249">
        <v>44335</v>
      </c>
      <c r="B294" s="222">
        <f>SUM(C294:I294)</f>
        <v>619908452</v>
      </c>
      <c r="C294" s="222">
        <v>421717529</v>
      </c>
      <c r="D294" s="222">
        <v>51086071</v>
      </c>
      <c r="E294" s="222">
        <v>32651452</v>
      </c>
      <c r="F294" s="222">
        <v>3596974</v>
      </c>
      <c r="G294" s="222">
        <v>24578284</v>
      </c>
      <c r="H294" s="222">
        <v>32841715</v>
      </c>
      <c r="I294" s="222">
        <v>53436427</v>
      </c>
      <c r="K294" s="175">
        <f t="shared" si="124"/>
        <v>0.68029001320988602</v>
      </c>
      <c r="L294" s="175">
        <f t="shared" si="125"/>
        <v>8.2409057071543196E-2</v>
      </c>
      <c r="M294" s="175">
        <f t="shared" si="118"/>
        <v>5.267140961646382E-2</v>
      </c>
      <c r="N294" s="175">
        <f t="shared" si="119"/>
        <v>5.8024277429919602E-3</v>
      </c>
      <c r="O294" s="175">
        <f t="shared" si="120"/>
        <v>3.9648247931938184E-2</v>
      </c>
      <c r="P294" s="175">
        <f t="shared" si="121"/>
        <v>5.2978330742294834E-2</v>
      </c>
      <c r="Q294" s="175">
        <f t="shared" si="122"/>
        <v>8.6200513684881977E-2</v>
      </c>
    </row>
    <row r="295" spans="1:17" x14ac:dyDescent="0.3">
      <c r="A295" s="249">
        <v>44366</v>
      </c>
      <c r="B295" s="222">
        <f t="shared" ref="B295:B298" si="126">SUM(C295:I295)</f>
        <v>693463791</v>
      </c>
      <c r="C295" s="222">
        <v>473982091</v>
      </c>
      <c r="D295" s="222">
        <v>59218316</v>
      </c>
      <c r="E295" s="222">
        <v>35893308</v>
      </c>
      <c r="F295" s="222">
        <v>4409214</v>
      </c>
      <c r="G295" s="222">
        <v>27680834</v>
      </c>
      <c r="H295" s="222">
        <v>35124239</v>
      </c>
      <c r="I295" s="222">
        <v>57155789</v>
      </c>
      <c r="K295" s="175">
        <f t="shared" si="124"/>
        <v>0.68349940855095059</v>
      </c>
      <c r="L295" s="175">
        <f t="shared" si="125"/>
        <v>8.5394964767525977E-2</v>
      </c>
      <c r="M295" s="175">
        <f t="shared" si="118"/>
        <v>5.1759455166708192E-2</v>
      </c>
      <c r="N295" s="175">
        <f t="shared" si="119"/>
        <v>6.3582469008825289E-3</v>
      </c>
      <c r="O295" s="175">
        <f t="shared" si="120"/>
        <v>3.9916769064586965E-2</v>
      </c>
      <c r="P295" s="175">
        <f t="shared" si="121"/>
        <v>5.065042970643005E-2</v>
      </c>
      <c r="Q295" s="175">
        <f t="shared" si="122"/>
        <v>8.242072584291571E-2</v>
      </c>
    </row>
    <row r="296" spans="1:17" x14ac:dyDescent="0.3">
      <c r="A296" s="249">
        <v>44396</v>
      </c>
      <c r="B296" s="222">
        <f t="shared" si="126"/>
        <v>630538440</v>
      </c>
      <c r="C296" s="222">
        <v>427174908</v>
      </c>
      <c r="D296" s="222">
        <v>53912868</v>
      </c>
      <c r="E296" s="222">
        <v>31239600</v>
      </c>
      <c r="F296" s="222">
        <v>3452190</v>
      </c>
      <c r="G296" s="222">
        <v>25391434</v>
      </c>
      <c r="H296" s="222">
        <v>35557776</v>
      </c>
      <c r="I296" s="222">
        <v>53809664</v>
      </c>
      <c r="K296" s="175">
        <f t="shared" si="124"/>
        <v>0.67747639303323048</v>
      </c>
      <c r="L296" s="175">
        <f t="shared" si="125"/>
        <v>8.550290447002723E-2</v>
      </c>
      <c r="M296" s="175">
        <f t="shared" ref="M296:M307" si="127">E296/$B296</f>
        <v>4.9544322785459359E-2</v>
      </c>
      <c r="N296" s="175">
        <f t="shared" ref="N296:N307" si="128">F296/$B296</f>
        <v>5.4749873774547356E-3</v>
      </c>
      <c r="O296" s="175">
        <f t="shared" ref="O296:O307" si="129">G296/$B296</f>
        <v>4.0269446538421988E-2</v>
      </c>
      <c r="P296" s="175">
        <f t="shared" ref="P296:P307" si="130">H296/$B296</f>
        <v>5.6392717309986684E-2</v>
      </c>
      <c r="Q296" s="175">
        <f t="shared" ref="Q296:Q307" si="131">I296/$B296</f>
        <v>8.5339228485419541E-2</v>
      </c>
    </row>
    <row r="297" spans="1:17" x14ac:dyDescent="0.3">
      <c r="A297" s="249">
        <v>44427</v>
      </c>
      <c r="B297" s="222">
        <f t="shared" si="126"/>
        <v>608582632</v>
      </c>
      <c r="C297" s="222">
        <v>409363126</v>
      </c>
      <c r="D297" s="222">
        <v>55299571</v>
      </c>
      <c r="E297" s="222">
        <v>31060199</v>
      </c>
      <c r="F297" s="222">
        <v>3219772</v>
      </c>
      <c r="G297" s="222">
        <v>25016965</v>
      </c>
      <c r="H297" s="222">
        <v>33415226</v>
      </c>
      <c r="I297" s="222">
        <v>51207773</v>
      </c>
      <c r="K297" s="175">
        <f t="shared" si="124"/>
        <v>0.67265003053849881</v>
      </c>
      <c r="L297" s="175">
        <f t="shared" si="125"/>
        <v>9.0866166880687452E-2</v>
      </c>
      <c r="M297" s="175">
        <f t="shared" si="127"/>
        <v>5.1036946121722382E-2</v>
      </c>
      <c r="N297" s="175">
        <f t="shared" si="128"/>
        <v>5.2906077674592595E-3</v>
      </c>
      <c r="O297" s="175">
        <f t="shared" si="129"/>
        <v>4.1106932213602836E-2</v>
      </c>
      <c r="P297" s="175">
        <f t="shared" si="130"/>
        <v>5.4906637559121139E-2</v>
      </c>
      <c r="Q297" s="175">
        <f t="shared" si="131"/>
        <v>8.4142678918908087E-2</v>
      </c>
    </row>
    <row r="298" spans="1:17" x14ac:dyDescent="0.3">
      <c r="A298" s="249">
        <v>44458</v>
      </c>
      <c r="B298" s="222">
        <f t="shared" si="126"/>
        <v>661806113</v>
      </c>
      <c r="C298" s="222">
        <v>450505531</v>
      </c>
      <c r="D298" s="222">
        <v>58747802</v>
      </c>
      <c r="E298" s="222">
        <v>35178819</v>
      </c>
      <c r="F298" s="222">
        <v>3795592</v>
      </c>
      <c r="G298" s="222">
        <v>26648265</v>
      </c>
      <c r="H298" s="222">
        <v>33302035</v>
      </c>
      <c r="I298" s="222">
        <v>53628069</v>
      </c>
      <c r="K298" s="175">
        <f t="shared" si="124"/>
        <v>0.68072132026377941</v>
      </c>
      <c r="L298" s="175">
        <f t="shared" si="125"/>
        <v>8.8768902018286439E-2</v>
      </c>
      <c r="M298" s="175">
        <f t="shared" si="127"/>
        <v>5.3155778269458206E-2</v>
      </c>
      <c r="N298" s="175">
        <f t="shared" si="128"/>
        <v>5.7352023884977323E-3</v>
      </c>
      <c r="O298" s="175">
        <f t="shared" si="129"/>
        <v>4.0265969861175942E-2</v>
      </c>
      <c r="P298" s="175">
        <f t="shared" si="130"/>
        <v>5.0319926555287046E-2</v>
      </c>
      <c r="Q298" s="175">
        <f t="shared" si="131"/>
        <v>8.1032900643515204E-2</v>
      </c>
    </row>
    <row r="299" spans="1:17" x14ac:dyDescent="0.3">
      <c r="A299" s="249">
        <v>44488</v>
      </c>
      <c r="B299" s="222">
        <f t="shared" ref="B299:B305" si="132">SUM(C299:I299)</f>
        <v>649374784</v>
      </c>
      <c r="C299" s="222">
        <v>440069097</v>
      </c>
      <c r="D299" s="222">
        <v>57224454</v>
      </c>
      <c r="E299" s="222">
        <v>33795427</v>
      </c>
      <c r="F299" s="222">
        <v>3555783</v>
      </c>
      <c r="G299" s="222">
        <v>26991249</v>
      </c>
      <c r="H299" s="222">
        <v>33965555</v>
      </c>
      <c r="I299" s="222">
        <v>53773219</v>
      </c>
      <c r="K299" s="175">
        <f t="shared" si="124"/>
        <v>0.67768122175806567</v>
      </c>
      <c r="L299" s="175">
        <f t="shared" si="125"/>
        <v>8.8122383883634137E-2</v>
      </c>
      <c r="M299" s="175">
        <f t="shared" si="127"/>
        <v>5.2043023278218331E-2</v>
      </c>
      <c r="N299" s="175">
        <f t="shared" si="128"/>
        <v>5.4757023026012668E-3</v>
      </c>
      <c r="O299" s="175">
        <f t="shared" si="129"/>
        <v>4.1564978599476998E-2</v>
      </c>
      <c r="P299" s="175">
        <f t="shared" si="130"/>
        <v>5.2305010660838966E-2</v>
      </c>
      <c r="Q299" s="175">
        <f t="shared" si="131"/>
        <v>8.2807679517164626E-2</v>
      </c>
    </row>
    <row r="300" spans="1:17" x14ac:dyDescent="0.3">
      <c r="A300" s="249">
        <v>44519</v>
      </c>
      <c r="B300" s="222">
        <f t="shared" si="132"/>
        <v>641973494</v>
      </c>
      <c r="C300" s="222">
        <v>441728928</v>
      </c>
      <c r="D300" s="222">
        <v>54602532</v>
      </c>
      <c r="E300" s="222">
        <v>28823190</v>
      </c>
      <c r="F300" s="222">
        <v>3854223</v>
      </c>
      <c r="G300" s="222">
        <v>25515010</v>
      </c>
      <c r="H300" s="222">
        <v>35843679</v>
      </c>
      <c r="I300" s="222">
        <v>51605932</v>
      </c>
      <c r="K300" s="175">
        <f t="shared" si="124"/>
        <v>0.68807969819389458</v>
      </c>
      <c r="L300" s="175">
        <f t="shared" si="125"/>
        <v>8.5054184495660809E-2</v>
      </c>
      <c r="M300" s="175">
        <f t="shared" si="127"/>
        <v>4.4897788256659708E-2</v>
      </c>
      <c r="N300" s="175">
        <f t="shared" si="128"/>
        <v>6.0037104896421157E-3</v>
      </c>
      <c r="O300" s="175">
        <f t="shared" si="129"/>
        <v>3.9744647152052046E-2</v>
      </c>
      <c r="P300" s="175">
        <f t="shared" si="130"/>
        <v>5.5833580879898446E-2</v>
      </c>
      <c r="Q300" s="175">
        <f t="shared" si="131"/>
        <v>8.0386390532192278E-2</v>
      </c>
    </row>
    <row r="301" spans="1:17" ht="13.5" thickBot="1" x14ac:dyDescent="0.35">
      <c r="A301" s="250">
        <v>44549</v>
      </c>
      <c r="B301" s="229">
        <f t="shared" si="132"/>
        <v>762661655</v>
      </c>
      <c r="C301" s="229">
        <v>522217763</v>
      </c>
      <c r="D301" s="229">
        <v>63617902</v>
      </c>
      <c r="E301" s="229">
        <v>47265591</v>
      </c>
      <c r="F301" s="229">
        <v>4342637</v>
      </c>
      <c r="G301" s="229">
        <v>29760891</v>
      </c>
      <c r="H301" s="229">
        <v>42551987</v>
      </c>
      <c r="I301" s="229">
        <v>52904884</v>
      </c>
      <c r="K301" s="180">
        <f t="shared" si="124"/>
        <v>0.68473058737953729</v>
      </c>
      <c r="L301" s="180">
        <f t="shared" si="125"/>
        <v>8.3415629437932085E-2</v>
      </c>
      <c r="M301" s="180">
        <f t="shared" si="127"/>
        <v>6.1974521322958082E-2</v>
      </c>
      <c r="N301" s="180">
        <f t="shared" si="128"/>
        <v>5.6940544624601583E-3</v>
      </c>
      <c r="O301" s="180">
        <f t="shared" si="129"/>
        <v>3.90224037158391E-2</v>
      </c>
      <c r="P301" s="180">
        <f t="shared" si="130"/>
        <v>5.5794055884453769E-2</v>
      </c>
      <c r="Q301" s="180">
        <f t="shared" si="131"/>
        <v>6.9368747796819549E-2</v>
      </c>
    </row>
    <row r="302" spans="1:17" x14ac:dyDescent="0.3">
      <c r="A302" s="232">
        <v>44580</v>
      </c>
      <c r="B302" s="254">
        <f t="shared" si="132"/>
        <v>610871079</v>
      </c>
      <c r="C302" s="233">
        <v>406844600</v>
      </c>
      <c r="D302" s="233">
        <v>56183732</v>
      </c>
      <c r="E302" s="233">
        <v>28720953</v>
      </c>
      <c r="F302" s="233">
        <v>3594048</v>
      </c>
      <c r="G302" s="233">
        <v>25841368</v>
      </c>
      <c r="H302" s="233">
        <v>35912331</v>
      </c>
      <c r="I302" s="233">
        <v>53774047</v>
      </c>
      <c r="K302" s="239">
        <f t="shared" si="124"/>
        <v>0.66600730331841429</v>
      </c>
      <c r="L302" s="239">
        <f t="shared" si="125"/>
        <v>9.1973141193675667E-2</v>
      </c>
      <c r="M302" s="239">
        <f t="shared" si="127"/>
        <v>4.7016390180095596E-2</v>
      </c>
      <c r="N302" s="239">
        <f t="shared" si="128"/>
        <v>5.8834803668942398E-3</v>
      </c>
      <c r="O302" s="239">
        <f t="shared" si="129"/>
        <v>4.2302490473607769E-2</v>
      </c>
      <c r="P302" s="239">
        <f t="shared" si="130"/>
        <v>5.8788723569609361E-2</v>
      </c>
      <c r="Q302" s="239">
        <f t="shared" si="131"/>
        <v>8.8028470897703118E-2</v>
      </c>
    </row>
    <row r="303" spans="1:17" x14ac:dyDescent="0.3">
      <c r="A303" s="220">
        <v>44611</v>
      </c>
      <c r="B303" s="236">
        <f t="shared" si="132"/>
        <v>601557045</v>
      </c>
      <c r="C303" s="222">
        <v>402522233</v>
      </c>
      <c r="D303" s="222">
        <v>55957487</v>
      </c>
      <c r="E303" s="222">
        <v>26571257</v>
      </c>
      <c r="F303" s="222">
        <v>3848343</v>
      </c>
      <c r="G303" s="222">
        <v>26322054</v>
      </c>
      <c r="H303" s="222">
        <v>35333197</v>
      </c>
      <c r="I303" s="222">
        <v>51002474</v>
      </c>
      <c r="K303" s="175">
        <f t="shared" ref="K303:K334" si="133">C303/$B303</f>
        <v>0.66913393558544398</v>
      </c>
      <c r="L303" s="175">
        <f t="shared" si="125"/>
        <v>9.3021081649870802E-2</v>
      </c>
      <c r="M303" s="175">
        <f t="shared" si="127"/>
        <v>4.4170801789878464E-2</v>
      </c>
      <c r="N303" s="175">
        <f t="shared" si="128"/>
        <v>6.3973035175741311E-3</v>
      </c>
      <c r="O303" s="175">
        <f t="shared" si="129"/>
        <v>4.3756538500849908E-2</v>
      </c>
      <c r="P303" s="175">
        <f t="shared" si="130"/>
        <v>5.8736236727141976E-2</v>
      </c>
      <c r="Q303" s="175">
        <f t="shared" si="131"/>
        <v>8.4784102229240793E-2</v>
      </c>
    </row>
    <row r="304" spans="1:17" x14ac:dyDescent="0.3">
      <c r="A304" s="220">
        <v>44639</v>
      </c>
      <c r="B304" s="236">
        <f>SUM(C304:I304)</f>
        <v>715593694.5</v>
      </c>
      <c r="C304" s="222">
        <v>487291117</v>
      </c>
      <c r="D304" s="222">
        <v>66334343</v>
      </c>
      <c r="E304" s="222">
        <v>32039502</v>
      </c>
      <c r="F304" s="222">
        <v>4494680</v>
      </c>
      <c r="G304" s="222">
        <v>27576068</v>
      </c>
      <c r="H304" s="222">
        <v>37950287</v>
      </c>
      <c r="I304" s="222">
        <v>59907697.5</v>
      </c>
      <c r="K304" s="175">
        <f t="shared" si="133"/>
        <v>0.68096060759797539</v>
      </c>
      <c r="L304" s="175">
        <f t="shared" ref="L304:L334" si="134">D304/$B304</f>
        <v>9.269833357929344E-2</v>
      </c>
      <c r="M304" s="175">
        <f t="shared" si="127"/>
        <v>4.4773315145526342E-2</v>
      </c>
      <c r="N304" s="175">
        <f t="shared" si="128"/>
        <v>6.2810503146489083E-3</v>
      </c>
      <c r="O304" s="175">
        <f t="shared" si="129"/>
        <v>3.853592927375913E-2</v>
      </c>
      <c r="P304" s="175">
        <f t="shared" si="130"/>
        <v>5.3033288710734997E-2</v>
      </c>
      <c r="Q304" s="175">
        <f t="shared" si="131"/>
        <v>8.3717475378061762E-2</v>
      </c>
    </row>
    <row r="305" spans="1:17" x14ac:dyDescent="0.3">
      <c r="A305" s="220">
        <v>44670</v>
      </c>
      <c r="B305" s="236">
        <f t="shared" si="132"/>
        <v>699858640</v>
      </c>
      <c r="C305" s="222">
        <v>475519605</v>
      </c>
      <c r="D305" s="222">
        <v>68056228</v>
      </c>
      <c r="E305" s="222">
        <v>31017986</v>
      </c>
      <c r="F305" s="222">
        <v>4005152</v>
      </c>
      <c r="G305" s="222">
        <v>26091238</v>
      </c>
      <c r="H305" s="222">
        <v>37405862</v>
      </c>
      <c r="I305" s="222">
        <v>57762569</v>
      </c>
      <c r="K305" s="175">
        <f t="shared" si="133"/>
        <v>0.67945093169100546</v>
      </c>
      <c r="L305" s="175">
        <f t="shared" si="134"/>
        <v>9.7242820350120995E-2</v>
      </c>
      <c r="M305" s="175">
        <f t="shared" si="127"/>
        <v>4.4320358751304405E-2</v>
      </c>
      <c r="N305" s="175">
        <f t="shared" si="128"/>
        <v>5.722801393149908E-3</v>
      </c>
      <c r="O305" s="175">
        <f t="shared" si="129"/>
        <v>3.7280725719125225E-2</v>
      </c>
      <c r="P305" s="175">
        <f t="shared" si="130"/>
        <v>5.3447739103428087E-2</v>
      </c>
      <c r="Q305" s="175">
        <f t="shared" si="131"/>
        <v>8.2534622991865897E-2</v>
      </c>
    </row>
    <row r="306" spans="1:17" x14ac:dyDescent="0.3">
      <c r="A306" s="220">
        <v>44700</v>
      </c>
      <c r="B306" s="236">
        <f>SUM(C306:I306)</f>
        <v>673146503</v>
      </c>
      <c r="C306" s="222">
        <v>454341428</v>
      </c>
      <c r="D306" s="222">
        <v>63239758</v>
      </c>
      <c r="E306" s="222">
        <v>30177283</v>
      </c>
      <c r="F306" s="222">
        <v>4015185</v>
      </c>
      <c r="G306" s="222">
        <v>27540010</v>
      </c>
      <c r="H306" s="222">
        <v>37746277</v>
      </c>
      <c r="I306" s="222">
        <v>56086562</v>
      </c>
      <c r="K306" s="175">
        <f t="shared" si="133"/>
        <v>0.67495177643372528</v>
      </c>
      <c r="L306" s="175">
        <f t="shared" si="134"/>
        <v>9.3946500083058437E-2</v>
      </c>
      <c r="M306" s="175">
        <f t="shared" si="127"/>
        <v>4.4830186096948346E-2</v>
      </c>
      <c r="N306" s="175">
        <f t="shared" si="128"/>
        <v>5.9648010976891307E-3</v>
      </c>
      <c r="O306" s="175">
        <f t="shared" si="129"/>
        <v>4.0912356934579515E-2</v>
      </c>
      <c r="P306" s="175">
        <f t="shared" si="130"/>
        <v>5.6074386232085945E-2</v>
      </c>
      <c r="Q306" s="175">
        <f t="shared" si="131"/>
        <v>8.3319993121913308E-2</v>
      </c>
    </row>
    <row r="307" spans="1:17" x14ac:dyDescent="0.3">
      <c r="A307" s="220">
        <v>44731</v>
      </c>
      <c r="B307" s="236">
        <f t="shared" ref="B307:B310" si="135">SUM(C307:I307)</f>
        <v>722299168</v>
      </c>
      <c r="C307" s="222">
        <v>486430803</v>
      </c>
      <c r="D307" s="222">
        <v>68217997</v>
      </c>
      <c r="E307" s="222">
        <v>32078889</v>
      </c>
      <c r="F307" s="222">
        <v>6632137</v>
      </c>
      <c r="G307" s="222">
        <v>31836848</v>
      </c>
      <c r="H307" s="222">
        <v>37448804</v>
      </c>
      <c r="I307" s="222">
        <v>59653690</v>
      </c>
      <c r="K307" s="175">
        <f t="shared" si="133"/>
        <v>0.67344782404622683</v>
      </c>
      <c r="L307" s="175">
        <f t="shared" si="134"/>
        <v>9.4445625887803877E-2</v>
      </c>
      <c r="M307" s="175">
        <f t="shared" si="127"/>
        <v>4.4412191542217032E-2</v>
      </c>
      <c r="N307" s="175">
        <f t="shared" si="128"/>
        <v>9.1819806720309007E-3</v>
      </c>
      <c r="O307" s="175">
        <f t="shared" si="129"/>
        <v>4.4077093551352392E-2</v>
      </c>
      <c r="P307" s="175">
        <f t="shared" si="130"/>
        <v>5.1846666394055711E-2</v>
      </c>
      <c r="Q307" s="175">
        <f t="shared" si="131"/>
        <v>8.2588617906313305E-2</v>
      </c>
    </row>
    <row r="308" spans="1:17" x14ac:dyDescent="0.3">
      <c r="A308" s="220">
        <v>44761</v>
      </c>
      <c r="B308" s="236">
        <f t="shared" si="135"/>
        <v>650594438</v>
      </c>
      <c r="C308" s="222">
        <v>435685875</v>
      </c>
      <c r="D308" s="222">
        <v>63257274</v>
      </c>
      <c r="E308" s="222">
        <v>29047498</v>
      </c>
      <c r="F308" s="222">
        <v>4128209</v>
      </c>
      <c r="G308" s="222">
        <v>27424020</v>
      </c>
      <c r="H308" s="222">
        <v>37860766</v>
      </c>
      <c r="I308" s="222">
        <v>53190796</v>
      </c>
      <c r="K308" s="175">
        <f t="shared" si="133"/>
        <v>0.66967353170025101</v>
      </c>
      <c r="L308" s="175">
        <f t="shared" si="134"/>
        <v>9.722996432994406E-2</v>
      </c>
      <c r="M308" s="175">
        <f t="shared" ref="M308:M334" si="136">E308/$B308</f>
        <v>4.4647627313407802E-2</v>
      </c>
      <c r="N308" s="175">
        <f t="shared" ref="N308:N334" si="137">F308/$B308</f>
        <v>6.3452878765618958E-3</v>
      </c>
      <c r="O308" s="175">
        <f t="shared" ref="O308:O334" si="138">G308/$B308</f>
        <v>4.2152250923485457E-2</v>
      </c>
      <c r="P308" s="175">
        <f t="shared" ref="P308:P334" si="139">H308/$B308</f>
        <v>5.819411262781192E-2</v>
      </c>
      <c r="Q308" s="175">
        <f t="shared" ref="Q308:Q334" si="140">I308/$B308</f>
        <v>8.1757225228537844E-2</v>
      </c>
    </row>
    <row r="309" spans="1:17" x14ac:dyDescent="0.3">
      <c r="A309" s="220">
        <v>44792</v>
      </c>
      <c r="B309" s="236">
        <f t="shared" si="135"/>
        <v>676547264</v>
      </c>
      <c r="C309" s="222">
        <v>443846584</v>
      </c>
      <c r="D309" s="222">
        <v>63596118</v>
      </c>
      <c r="E309" s="222">
        <v>29423032</v>
      </c>
      <c r="F309" s="222">
        <v>3676267</v>
      </c>
      <c r="G309" s="222">
        <v>27882211</v>
      </c>
      <c r="H309" s="222">
        <v>38957962</v>
      </c>
      <c r="I309" s="222">
        <v>69165090</v>
      </c>
      <c r="K309" s="175">
        <f t="shared" si="133"/>
        <v>0.65604667643737602</v>
      </c>
      <c r="L309" s="175">
        <f t="shared" si="134"/>
        <v>9.4000997984968568E-2</v>
      </c>
      <c r="M309" s="175">
        <f t="shared" si="136"/>
        <v>4.3489987419415531E-2</v>
      </c>
      <c r="N309" s="175">
        <f t="shared" si="137"/>
        <v>5.4338657409750456E-3</v>
      </c>
      <c r="O309" s="175">
        <f t="shared" si="138"/>
        <v>4.121251017282955E-2</v>
      </c>
      <c r="P309" s="175">
        <f t="shared" si="139"/>
        <v>5.758350387771282E-2</v>
      </c>
      <c r="Q309" s="175">
        <f t="shared" si="140"/>
        <v>0.10223245836672247</v>
      </c>
    </row>
    <row r="310" spans="1:17" x14ac:dyDescent="0.3">
      <c r="A310" s="220">
        <v>44823</v>
      </c>
      <c r="B310" s="236">
        <f t="shared" si="135"/>
        <v>688717785</v>
      </c>
      <c r="C310" s="222">
        <v>452522040</v>
      </c>
      <c r="D310" s="222">
        <v>73482043</v>
      </c>
      <c r="E310" s="222">
        <v>29751231</v>
      </c>
      <c r="F310" s="222">
        <v>4191940</v>
      </c>
      <c r="G310" s="222">
        <v>28357144</v>
      </c>
      <c r="H310" s="222">
        <v>36812723</v>
      </c>
      <c r="I310" s="222">
        <v>63600664</v>
      </c>
      <c r="K310" s="175">
        <f t="shared" si="133"/>
        <v>0.65705002811855662</v>
      </c>
      <c r="L310" s="175">
        <f t="shared" si="134"/>
        <v>0.10669398206407578</v>
      </c>
      <c r="M310" s="175">
        <f t="shared" si="136"/>
        <v>4.3198000179420368E-2</v>
      </c>
      <c r="N310" s="175">
        <f t="shared" si="137"/>
        <v>6.0865859591530663E-3</v>
      </c>
      <c r="O310" s="175">
        <f t="shared" si="138"/>
        <v>4.1173822743665607E-2</v>
      </c>
      <c r="P310" s="175">
        <f t="shared" si="139"/>
        <v>5.3451099712780031E-2</v>
      </c>
      <c r="Q310" s="175">
        <f t="shared" si="140"/>
        <v>9.2346481222348564E-2</v>
      </c>
    </row>
    <row r="311" spans="1:17" x14ac:dyDescent="0.3">
      <c r="A311" s="220">
        <v>44853</v>
      </c>
      <c r="B311" s="236">
        <v>696645559</v>
      </c>
      <c r="C311" s="222">
        <v>462797399</v>
      </c>
      <c r="D311" s="222">
        <v>67512564</v>
      </c>
      <c r="E311" s="222">
        <v>30522314</v>
      </c>
      <c r="F311" s="222">
        <v>4483499</v>
      </c>
      <c r="G311" s="222">
        <v>29201971</v>
      </c>
      <c r="H311" s="222">
        <v>41033691</v>
      </c>
      <c r="I311" s="222">
        <v>61094120</v>
      </c>
      <c r="K311" s="175">
        <f t="shared" si="133"/>
        <v>0.66432261430665351</v>
      </c>
      <c r="L311" s="175">
        <f t="shared" si="134"/>
        <v>9.6910922818356754E-2</v>
      </c>
      <c r="M311" s="175">
        <f t="shared" si="136"/>
        <v>4.3813261429260043E-2</v>
      </c>
      <c r="N311" s="175">
        <f t="shared" si="137"/>
        <v>6.4358394912268435E-3</v>
      </c>
      <c r="O311" s="175">
        <f t="shared" si="138"/>
        <v>4.1917974819100222E-2</v>
      </c>
      <c r="P311" s="175">
        <f t="shared" si="139"/>
        <v>5.8901819540630992E-2</v>
      </c>
      <c r="Q311" s="175">
        <f t="shared" si="140"/>
        <v>8.7697566159321491E-2</v>
      </c>
    </row>
    <row r="312" spans="1:17" x14ac:dyDescent="0.3">
      <c r="A312" s="220">
        <v>44884</v>
      </c>
      <c r="B312" s="236">
        <v>668269524</v>
      </c>
      <c r="C312" s="222">
        <v>450543455</v>
      </c>
      <c r="D312" s="222">
        <v>65619700</v>
      </c>
      <c r="E312" s="222">
        <v>29471062</v>
      </c>
      <c r="F312" s="222">
        <v>3573872</v>
      </c>
      <c r="G312" s="222">
        <v>26179562</v>
      </c>
      <c r="H312" s="222">
        <v>34798077</v>
      </c>
      <c r="I312" s="222">
        <v>58083796</v>
      </c>
      <c r="K312" s="175">
        <f t="shared" si="133"/>
        <v>0.67419422675932172</v>
      </c>
      <c r="L312" s="175">
        <f t="shared" si="134"/>
        <v>9.8193464827224408E-2</v>
      </c>
      <c r="M312" s="175">
        <f t="shared" si="136"/>
        <v>4.4100562634665351E-2</v>
      </c>
      <c r="N312" s="175">
        <f t="shared" si="137"/>
        <v>5.3479499986894509E-3</v>
      </c>
      <c r="O312" s="175">
        <f t="shared" si="138"/>
        <v>3.9175154723949376E-2</v>
      </c>
      <c r="P312" s="175">
        <f t="shared" si="139"/>
        <v>5.2071919712442252E-2</v>
      </c>
      <c r="Q312" s="175">
        <f t="shared" si="140"/>
        <v>8.6916721343707426E-2</v>
      </c>
    </row>
    <row r="313" spans="1:17" ht="13.5" thickBot="1" x14ac:dyDescent="0.35">
      <c r="A313" s="228">
        <v>44914</v>
      </c>
      <c r="B313" s="255">
        <f>SUM(C313:I313)</f>
        <v>799615630</v>
      </c>
      <c r="C313" s="229">
        <v>554328609</v>
      </c>
      <c r="D313" s="229">
        <v>73034678</v>
      </c>
      <c r="E313" s="229">
        <v>34926879</v>
      </c>
      <c r="F313" s="229">
        <v>4232171</v>
      </c>
      <c r="G313" s="229">
        <v>31730600</v>
      </c>
      <c r="H313" s="229">
        <v>43508305</v>
      </c>
      <c r="I313" s="229">
        <v>57854388</v>
      </c>
      <c r="K313" s="180">
        <f t="shared" si="133"/>
        <v>0.69324383891795616</v>
      </c>
      <c r="L313" s="180">
        <f t="shared" si="134"/>
        <v>9.1337231614644646E-2</v>
      </c>
      <c r="M313" s="180">
        <f t="shared" si="136"/>
        <v>4.3679585152681423E-2</v>
      </c>
      <c r="N313" s="180">
        <f t="shared" si="137"/>
        <v>5.2927567211261241E-3</v>
      </c>
      <c r="O313" s="180">
        <f t="shared" si="138"/>
        <v>3.9682315864686138E-2</v>
      </c>
      <c r="P313" s="180">
        <f t="shared" si="139"/>
        <v>5.4411523946824303E-2</v>
      </c>
      <c r="Q313" s="180">
        <f t="shared" si="140"/>
        <v>7.2352747782081242E-2</v>
      </c>
    </row>
    <row r="314" spans="1:17" x14ac:dyDescent="0.3">
      <c r="A314" s="232">
        <v>44945</v>
      </c>
      <c r="B314" s="254">
        <v>656616667</v>
      </c>
      <c r="C314" s="233">
        <v>433157723</v>
      </c>
      <c r="D314" s="233">
        <v>67253153</v>
      </c>
      <c r="E314" s="233">
        <v>29099175</v>
      </c>
      <c r="F314" s="233">
        <v>3692994</v>
      </c>
      <c r="G314" s="233">
        <v>27817107</v>
      </c>
      <c r="H314" s="233">
        <v>39109931</v>
      </c>
      <c r="I314" s="233">
        <v>56486584</v>
      </c>
      <c r="K314" s="239">
        <f t="shared" si="133"/>
        <v>0.65968127945798849</v>
      </c>
      <c r="L314" s="239">
        <f t="shared" si="134"/>
        <v>0.10242376774758293</v>
      </c>
      <c r="M314" s="239">
        <f t="shared" si="136"/>
        <v>4.4316838823099808E-2</v>
      </c>
      <c r="N314" s="239">
        <f t="shared" si="137"/>
        <v>5.6242769725490379E-3</v>
      </c>
      <c r="O314" s="239">
        <f t="shared" si="138"/>
        <v>4.2364302336541204E-2</v>
      </c>
      <c r="P314" s="239">
        <f t="shared" si="139"/>
        <v>5.9562805767158514E-2</v>
      </c>
      <c r="Q314" s="239">
        <f t="shared" si="140"/>
        <v>8.6026728895079965E-2</v>
      </c>
    </row>
    <row r="315" spans="1:17" x14ac:dyDescent="0.3">
      <c r="A315" s="220">
        <v>44976</v>
      </c>
      <c r="B315" s="236">
        <f t="shared" ref="B315:B321" si="141">SUM(C315:I315)</f>
        <v>640024786</v>
      </c>
      <c r="C315" s="222">
        <v>433134987</v>
      </c>
      <c r="D315" s="222">
        <v>61697672</v>
      </c>
      <c r="E315" s="222">
        <v>28945084</v>
      </c>
      <c r="F315" s="222">
        <v>3806534</v>
      </c>
      <c r="G315" s="222">
        <v>28730109</v>
      </c>
      <c r="H315" s="222">
        <v>35091709</v>
      </c>
      <c r="I315" s="222">
        <v>48618691</v>
      </c>
      <c r="K315" s="175">
        <f t="shared" si="133"/>
        <v>0.6767472080370337</v>
      </c>
      <c r="L315" s="175">
        <f t="shared" si="134"/>
        <v>9.6398879152158334E-2</v>
      </c>
      <c r="M315" s="175">
        <f t="shared" si="136"/>
        <v>4.5224942272782544E-2</v>
      </c>
      <c r="N315" s="175">
        <f t="shared" si="137"/>
        <v>5.947479040288293E-3</v>
      </c>
      <c r="O315" s="175">
        <f t="shared" si="138"/>
        <v>4.488905684349543E-2</v>
      </c>
      <c r="P315" s="175">
        <f t="shared" si="139"/>
        <v>5.4828671900841043E-2</v>
      </c>
      <c r="Q315" s="175">
        <f t="shared" si="140"/>
        <v>7.596376275340061E-2</v>
      </c>
    </row>
    <row r="316" spans="1:17" x14ac:dyDescent="0.3">
      <c r="A316" s="220">
        <v>45004</v>
      </c>
      <c r="B316" s="236">
        <f t="shared" si="141"/>
        <v>750561413</v>
      </c>
      <c r="C316" s="222">
        <v>504291470</v>
      </c>
      <c r="D316" s="222">
        <v>73233375</v>
      </c>
      <c r="E316" s="222">
        <v>34721197</v>
      </c>
      <c r="F316" s="222">
        <v>4610422</v>
      </c>
      <c r="G316" s="222">
        <v>31886969</v>
      </c>
      <c r="H316" s="222">
        <v>40876840</v>
      </c>
      <c r="I316" s="222">
        <v>60941140</v>
      </c>
      <c r="K316" s="175">
        <f t="shared" si="133"/>
        <v>0.67188568618834654</v>
      </c>
      <c r="L316" s="175">
        <f t="shared" si="134"/>
        <v>9.7571462816461091E-2</v>
      </c>
      <c r="M316" s="175">
        <f t="shared" si="136"/>
        <v>4.6260301154064258E-2</v>
      </c>
      <c r="N316" s="175">
        <f t="shared" si="137"/>
        <v>6.1426312626066213E-3</v>
      </c>
      <c r="O316" s="175">
        <f t="shared" si="138"/>
        <v>4.2484157122529828E-2</v>
      </c>
      <c r="P316" s="175">
        <f t="shared" si="139"/>
        <v>5.4461686001968768E-2</v>
      </c>
      <c r="Q316" s="175">
        <f t="shared" si="140"/>
        <v>8.1194075454022838E-2</v>
      </c>
    </row>
    <row r="317" spans="1:17" x14ac:dyDescent="0.3">
      <c r="A317" s="225">
        <v>45035</v>
      </c>
      <c r="B317" s="236">
        <f t="shared" si="141"/>
        <v>709314490</v>
      </c>
      <c r="C317" s="222">
        <v>485912106</v>
      </c>
      <c r="D317" s="222">
        <v>69457658</v>
      </c>
      <c r="E317" s="222">
        <v>27506739</v>
      </c>
      <c r="F317" s="222">
        <v>3954750</v>
      </c>
      <c r="G317" s="222">
        <v>29932626</v>
      </c>
      <c r="H317" s="222">
        <v>37792217</v>
      </c>
      <c r="I317" s="222">
        <v>54758394</v>
      </c>
      <c r="K317" s="175">
        <f t="shared" si="133"/>
        <v>0.68504466333403113</v>
      </c>
      <c r="L317" s="175">
        <f t="shared" si="134"/>
        <v>9.7922231928463777E-2</v>
      </c>
      <c r="M317" s="175">
        <f t="shared" si="136"/>
        <v>3.877932762941301E-2</v>
      </c>
      <c r="N317" s="175">
        <f t="shared" si="137"/>
        <v>5.5754535622132857E-3</v>
      </c>
      <c r="O317" s="175">
        <f t="shared" si="138"/>
        <v>4.2199371959819966E-2</v>
      </c>
      <c r="P317" s="175">
        <f t="shared" si="139"/>
        <v>5.3279916782751749E-2</v>
      </c>
      <c r="Q317" s="175">
        <f t="shared" si="140"/>
        <v>7.7199034803307059E-2</v>
      </c>
    </row>
    <row r="318" spans="1:17" x14ac:dyDescent="0.3">
      <c r="A318" s="220">
        <v>45065</v>
      </c>
      <c r="B318" s="236">
        <f t="shared" si="141"/>
        <v>704454465</v>
      </c>
      <c r="C318" s="222">
        <v>471005322</v>
      </c>
      <c r="D318" s="222">
        <v>70808364</v>
      </c>
      <c r="E318" s="222">
        <v>32191688</v>
      </c>
      <c r="F318" s="222">
        <v>3854918</v>
      </c>
      <c r="G318" s="222">
        <v>31720642</v>
      </c>
      <c r="H318" s="222">
        <v>38239743</v>
      </c>
      <c r="I318" s="222">
        <v>56633788</v>
      </c>
      <c r="K318" s="175">
        <f t="shared" si="133"/>
        <v>0.66861003145178444</v>
      </c>
      <c r="L318" s="175">
        <f t="shared" si="134"/>
        <v>0.10051517524273197</v>
      </c>
      <c r="M318" s="175">
        <f t="shared" si="136"/>
        <v>4.5697329777021144E-2</v>
      </c>
      <c r="N318" s="175">
        <f t="shared" si="137"/>
        <v>5.4722032317589186E-3</v>
      </c>
      <c r="O318" s="175">
        <f t="shared" si="138"/>
        <v>4.5028662001595804E-2</v>
      </c>
      <c r="P318" s="175">
        <f t="shared" si="139"/>
        <v>5.4282774685798889E-2</v>
      </c>
      <c r="Q318" s="175">
        <f t="shared" si="140"/>
        <v>8.0393823609308801E-2</v>
      </c>
    </row>
    <row r="319" spans="1:17" x14ac:dyDescent="0.3">
      <c r="A319" s="220">
        <v>45096</v>
      </c>
      <c r="B319" s="236">
        <f t="shared" si="141"/>
        <v>731065771</v>
      </c>
      <c r="C319" s="222">
        <v>492709058</v>
      </c>
      <c r="D319" s="222">
        <v>71158187</v>
      </c>
      <c r="E319" s="222">
        <v>33575376</v>
      </c>
      <c r="F319" s="222">
        <v>5011261</v>
      </c>
      <c r="G319" s="222">
        <v>30230209</v>
      </c>
      <c r="H319" s="222">
        <v>39228324</v>
      </c>
      <c r="I319" s="222">
        <v>59153356</v>
      </c>
      <c r="K319" s="175">
        <f t="shared" si="133"/>
        <v>0.67395996030020666</v>
      </c>
      <c r="L319" s="175">
        <f t="shared" si="134"/>
        <v>9.7334863459227663E-2</v>
      </c>
      <c r="M319" s="175">
        <f>E319/$B319</f>
        <v>4.5926614720414809E-2</v>
      </c>
      <c r="N319" s="175">
        <f t="shared" si="137"/>
        <v>6.8547334573540036E-3</v>
      </c>
      <c r="O319" s="175">
        <f t="shared" si="138"/>
        <v>4.1350874571311313E-2</v>
      </c>
      <c r="P319" s="175">
        <f t="shared" si="139"/>
        <v>5.3659089997252794E-2</v>
      </c>
      <c r="Q319" s="175">
        <f t="shared" si="140"/>
        <v>8.0913863494232727E-2</v>
      </c>
    </row>
    <row r="320" spans="1:17" x14ac:dyDescent="0.3">
      <c r="A320" s="225">
        <v>45126</v>
      </c>
      <c r="B320" s="236">
        <f t="shared" si="141"/>
        <v>678402936</v>
      </c>
      <c r="C320" s="222">
        <v>457132071</v>
      </c>
      <c r="D320" s="222">
        <v>60997073</v>
      </c>
      <c r="E320" s="222">
        <v>33254192</v>
      </c>
      <c r="F320" s="222">
        <v>4134529</v>
      </c>
      <c r="G320" s="222">
        <v>31496743</v>
      </c>
      <c r="H320" s="222">
        <v>36871399</v>
      </c>
      <c r="I320" s="222">
        <v>54516929</v>
      </c>
      <c r="K320" s="175">
        <f t="shared" si="133"/>
        <v>0.67383563180805572</v>
      </c>
      <c r="L320" s="175">
        <f t="shared" si="134"/>
        <v>8.9912749139399367E-2</v>
      </c>
      <c r="M320" s="175">
        <f t="shared" si="136"/>
        <v>4.9018349177663345E-2</v>
      </c>
      <c r="N320" s="175">
        <f t="shared" si="137"/>
        <v>6.0945033999675966E-3</v>
      </c>
      <c r="O320" s="175">
        <f t="shared" si="138"/>
        <v>4.6427781084956862E-2</v>
      </c>
      <c r="P320" s="175">
        <f t="shared" si="139"/>
        <v>5.4350293967477759E-2</v>
      </c>
      <c r="Q320" s="175">
        <f t="shared" si="140"/>
        <v>8.0360691422479341E-2</v>
      </c>
    </row>
    <row r="321" spans="1:17" x14ac:dyDescent="0.3">
      <c r="A321" s="220">
        <v>45157</v>
      </c>
      <c r="B321" s="236">
        <f t="shared" si="141"/>
        <v>701997438</v>
      </c>
      <c r="C321" s="222">
        <v>469986786</v>
      </c>
      <c r="D321" s="222">
        <v>66898016</v>
      </c>
      <c r="E321" s="222">
        <v>31801119</v>
      </c>
      <c r="F321" s="222">
        <v>4429756</v>
      </c>
      <c r="G321" s="222">
        <v>29885611</v>
      </c>
      <c r="H321" s="222">
        <v>37139551</v>
      </c>
      <c r="I321" s="222">
        <v>61856599</v>
      </c>
      <c r="K321" s="175">
        <f t="shared" si="133"/>
        <v>0.66949928954014215</v>
      </c>
      <c r="L321" s="175">
        <f t="shared" si="134"/>
        <v>9.5296666880428135E-2</v>
      </c>
      <c r="M321" s="175">
        <f t="shared" si="136"/>
        <v>4.5300904645181911E-2</v>
      </c>
      <c r="N321" s="175">
        <f t="shared" si="137"/>
        <v>6.3102167617882388E-3</v>
      </c>
      <c r="O321" s="175">
        <f t="shared" si="138"/>
        <v>4.2572250812117636E-2</v>
      </c>
      <c r="P321" s="175">
        <f t="shared" si="139"/>
        <v>5.2905536387441915E-2</v>
      </c>
      <c r="Q321" s="175">
        <f t="shared" si="140"/>
        <v>8.8115134972899994E-2</v>
      </c>
    </row>
    <row r="322" spans="1:17" x14ac:dyDescent="0.3">
      <c r="A322" s="220">
        <v>45188</v>
      </c>
      <c r="B322" s="236">
        <f t="shared" ref="B322:B336" si="142">SUM(C322:I322)</f>
        <v>692066304</v>
      </c>
      <c r="C322" s="222">
        <v>459309529</v>
      </c>
      <c r="D322" s="222">
        <v>71757257</v>
      </c>
      <c r="E322" s="222">
        <v>31848166</v>
      </c>
      <c r="F322" s="222">
        <v>4117333</v>
      </c>
      <c r="G322" s="222">
        <v>30250117</v>
      </c>
      <c r="H322" s="222">
        <v>38591661</v>
      </c>
      <c r="I322" s="222">
        <v>56192241</v>
      </c>
      <c r="K322" s="175">
        <f t="shared" ref="K322" si="143">C322/$B322</f>
        <v>0.66367850355563618</v>
      </c>
      <c r="L322" s="175">
        <f t="shared" ref="L322" si="144">D322/$B322</f>
        <v>0.10368552346105844</v>
      </c>
      <c r="M322" s="175">
        <f t="shared" ref="M322" si="145">E322/$B322</f>
        <v>4.6018951964463796E-2</v>
      </c>
      <c r="N322" s="175">
        <f t="shared" ref="N322" si="146">F322/$B322</f>
        <v>5.9493331436636454E-3</v>
      </c>
      <c r="O322" s="175">
        <f t="shared" ref="O322" si="147">G322/$B322</f>
        <v>4.3709853846604849E-2</v>
      </c>
      <c r="P322" s="175">
        <f t="shared" ref="P322" si="148">H322/$B322</f>
        <v>5.5762953313791157E-2</v>
      </c>
      <c r="Q322" s="175">
        <f t="shared" ref="Q322" si="149">I322/$B322</f>
        <v>8.1194880714781911E-2</v>
      </c>
    </row>
    <row r="323" spans="1:17" x14ac:dyDescent="0.3">
      <c r="A323" s="225">
        <v>45218</v>
      </c>
      <c r="B323" s="222">
        <f t="shared" si="142"/>
        <v>690304532</v>
      </c>
      <c r="C323" s="222">
        <v>454180965</v>
      </c>
      <c r="D323" s="222">
        <v>68340494</v>
      </c>
      <c r="E323" s="222">
        <v>32591094</v>
      </c>
      <c r="F323" s="222">
        <v>4125033</v>
      </c>
      <c r="G323" s="222">
        <v>31842135</v>
      </c>
      <c r="H323" s="303">
        <v>41488099</v>
      </c>
      <c r="I323" s="222">
        <v>57736712</v>
      </c>
      <c r="K323" s="175">
        <f t="shared" ref="K323:Q323" si="150">C322/$B322</f>
        <v>0.66367850355563618</v>
      </c>
      <c r="L323" s="175">
        <f t="shared" si="150"/>
        <v>0.10368552346105844</v>
      </c>
      <c r="M323" s="175">
        <f t="shared" si="150"/>
        <v>4.6018951964463796E-2</v>
      </c>
      <c r="N323" s="175">
        <f t="shared" si="150"/>
        <v>5.9493331436636454E-3</v>
      </c>
      <c r="O323" s="175">
        <f t="shared" si="150"/>
        <v>4.3709853846604849E-2</v>
      </c>
      <c r="P323" s="175">
        <f t="shared" si="150"/>
        <v>5.5762953313791157E-2</v>
      </c>
      <c r="Q323" s="175">
        <f t="shared" si="150"/>
        <v>8.1194880714781911E-2</v>
      </c>
    </row>
    <row r="324" spans="1:17" x14ac:dyDescent="0.3">
      <c r="A324" s="220">
        <v>45249</v>
      </c>
      <c r="B324" s="236">
        <f t="shared" si="142"/>
        <v>706911238</v>
      </c>
      <c r="C324" s="222">
        <v>466381143</v>
      </c>
      <c r="D324" s="222">
        <v>72750079</v>
      </c>
      <c r="E324" s="222">
        <v>32825423</v>
      </c>
      <c r="F324" s="222">
        <v>4461339</v>
      </c>
      <c r="G324" s="222">
        <v>31793530</v>
      </c>
      <c r="H324" s="222">
        <v>39304347</v>
      </c>
      <c r="I324" s="222">
        <v>59395377</v>
      </c>
      <c r="K324" s="175">
        <f t="shared" si="133"/>
        <v>0.65974498342888133</v>
      </c>
      <c r="L324" s="175">
        <f t="shared" si="134"/>
        <v>0.10291260782021971</v>
      </c>
      <c r="M324" s="175">
        <f t="shared" si="136"/>
        <v>4.643499952394306E-2</v>
      </c>
      <c r="N324" s="175">
        <f t="shared" si="137"/>
        <v>6.3110313716642314E-3</v>
      </c>
      <c r="O324" s="175">
        <f t="shared" si="138"/>
        <v>4.4975278777503319E-2</v>
      </c>
      <c r="P324" s="175">
        <f t="shared" si="139"/>
        <v>5.5600116234111985E-2</v>
      </c>
      <c r="Q324" s="175">
        <f t="shared" si="140"/>
        <v>8.4020982843676331E-2</v>
      </c>
    </row>
    <row r="325" spans="1:17" ht="13.5" thickBot="1" x14ac:dyDescent="0.35">
      <c r="A325" s="228">
        <v>45279</v>
      </c>
      <c r="B325" s="255">
        <f t="shared" si="142"/>
        <v>796821297</v>
      </c>
      <c r="C325" s="229">
        <v>547183588</v>
      </c>
      <c r="D325" s="229">
        <v>76356752</v>
      </c>
      <c r="E325" s="229">
        <v>34276698</v>
      </c>
      <c r="F325" s="229">
        <v>4100470</v>
      </c>
      <c r="G325" s="229">
        <v>33615152</v>
      </c>
      <c r="H325" s="229">
        <v>42475101</v>
      </c>
      <c r="I325" s="229">
        <v>58813536</v>
      </c>
      <c r="K325" s="180">
        <f t="shared" si="133"/>
        <v>0.68670803611816611</v>
      </c>
      <c r="L325" s="180">
        <f t="shared" si="134"/>
        <v>9.5826695756601993E-2</v>
      </c>
      <c r="M325" s="180">
        <f t="shared" si="136"/>
        <v>4.3016794517227869E-2</v>
      </c>
      <c r="N325" s="180">
        <f t="shared" si="137"/>
        <v>5.1460346447040305E-3</v>
      </c>
      <c r="O325" s="180">
        <f t="shared" si="138"/>
        <v>4.2186563193729494E-2</v>
      </c>
      <c r="P325" s="180">
        <f t="shared" si="139"/>
        <v>5.3305679905791978E-2</v>
      </c>
      <c r="Q325" s="180">
        <f t="shared" si="140"/>
        <v>7.3810195863778474E-2</v>
      </c>
    </row>
    <row r="326" spans="1:17" x14ac:dyDescent="0.3">
      <c r="A326" s="232">
        <v>45310</v>
      </c>
      <c r="B326" s="236">
        <f t="shared" si="142"/>
        <v>657566291</v>
      </c>
      <c r="C326" s="233">
        <v>434053343</v>
      </c>
      <c r="D326" s="233">
        <v>66688279</v>
      </c>
      <c r="E326" s="233">
        <v>30384814</v>
      </c>
      <c r="F326" s="233">
        <v>4047837</v>
      </c>
      <c r="G326" s="233">
        <v>25656084</v>
      </c>
      <c r="H326" s="233">
        <v>39118430</v>
      </c>
      <c r="I326" s="233">
        <v>57617504</v>
      </c>
      <c r="K326" s="175">
        <f t="shared" si="133"/>
        <v>0.66009062347145164</v>
      </c>
      <c r="L326" s="175">
        <f t="shared" si="134"/>
        <v>0.10141681517552122</v>
      </c>
      <c r="M326" s="175">
        <f t="shared" si="136"/>
        <v>4.6207986047751955E-2</v>
      </c>
      <c r="N326" s="175">
        <f t="shared" si="137"/>
        <v>6.1557854400416641E-3</v>
      </c>
      <c r="O326" s="175">
        <f t="shared" si="138"/>
        <v>3.9016726299919167E-2</v>
      </c>
      <c r="P326" s="175">
        <f t="shared" si="139"/>
        <v>5.9489713106355084E-2</v>
      </c>
      <c r="Q326" s="175">
        <f t="shared" si="140"/>
        <v>8.7622350458959275E-2</v>
      </c>
    </row>
    <row r="327" spans="1:17" x14ac:dyDescent="0.3">
      <c r="A327" s="220">
        <v>45341</v>
      </c>
      <c r="B327" s="222">
        <f t="shared" si="142"/>
        <v>661905283</v>
      </c>
      <c r="C327" s="222">
        <v>440105643</v>
      </c>
      <c r="D327" s="222">
        <v>65411011</v>
      </c>
      <c r="E327" s="222">
        <v>29489906</v>
      </c>
      <c r="F327" s="222">
        <v>4249003</v>
      </c>
      <c r="G327" s="222">
        <v>28353412</v>
      </c>
      <c r="H327" s="222">
        <v>36752820</v>
      </c>
      <c r="I327" s="222">
        <v>57543488</v>
      </c>
      <c r="K327" s="175">
        <f t="shared" si="133"/>
        <v>0.66490728251220199</v>
      </c>
      <c r="L327" s="175">
        <f t="shared" si="134"/>
        <v>9.8822312919958966E-2</v>
      </c>
      <c r="M327" s="175">
        <f t="shared" si="136"/>
        <v>4.4553060320565531E-2</v>
      </c>
      <c r="N327" s="175">
        <f t="shared" si="137"/>
        <v>6.4193519966209422E-3</v>
      </c>
      <c r="O327" s="175">
        <f t="shared" si="138"/>
        <v>4.2836056348563696E-2</v>
      </c>
      <c r="P327" s="175">
        <f t="shared" si="139"/>
        <v>5.5525799451883205E-2</v>
      </c>
      <c r="Q327" s="175">
        <f t="shared" si="140"/>
        <v>8.6936136450205675E-2</v>
      </c>
    </row>
    <row r="328" spans="1:17" x14ac:dyDescent="0.3">
      <c r="A328" s="220">
        <v>45370</v>
      </c>
      <c r="B328" s="236">
        <f t="shared" si="142"/>
        <v>742239057</v>
      </c>
      <c r="C328" s="222">
        <v>499656395</v>
      </c>
      <c r="D328" s="222">
        <v>72128054</v>
      </c>
      <c r="E328" s="222">
        <v>35364867</v>
      </c>
      <c r="F328" s="222">
        <v>4483349</v>
      </c>
      <c r="G328" s="222">
        <v>32188492</v>
      </c>
      <c r="H328" s="222">
        <v>38859322</v>
      </c>
      <c r="I328" s="222">
        <v>59558578</v>
      </c>
      <c r="K328" s="175">
        <f t="shared" si="133"/>
        <v>0.67317448507698241</v>
      </c>
      <c r="L328" s="175">
        <f t="shared" si="134"/>
        <v>9.7176311755310926E-2</v>
      </c>
      <c r="M328" s="234">
        <f t="shared" si="136"/>
        <v>4.7646195206890063E-2</v>
      </c>
      <c r="N328" s="175">
        <f t="shared" si="137"/>
        <v>6.0403032657980974E-3</v>
      </c>
      <c r="O328" s="175">
        <f t="shared" si="138"/>
        <v>4.3366745115920244E-2</v>
      </c>
      <c r="P328" s="175">
        <f t="shared" si="139"/>
        <v>5.2354186476069528E-2</v>
      </c>
      <c r="Q328" s="175">
        <f t="shared" si="140"/>
        <v>8.0241773103028713E-2</v>
      </c>
    </row>
    <row r="329" spans="1:17" x14ac:dyDescent="0.3">
      <c r="A329" s="225">
        <v>45401</v>
      </c>
      <c r="B329" s="222">
        <f t="shared" si="142"/>
        <v>725285670</v>
      </c>
      <c r="C329" s="222">
        <v>488201116</v>
      </c>
      <c r="D329" s="222">
        <v>69027283</v>
      </c>
      <c r="E329" s="222">
        <v>33061587</v>
      </c>
      <c r="F329" s="222">
        <v>4552119</v>
      </c>
      <c r="G329" s="222">
        <v>34224396</v>
      </c>
      <c r="H329" s="222">
        <v>40396442</v>
      </c>
      <c r="I329" s="222">
        <v>55822727</v>
      </c>
      <c r="K329" s="175">
        <f t="shared" si="133"/>
        <v>0.67311562353079446</v>
      </c>
      <c r="L329" s="175">
        <f t="shared" si="134"/>
        <v>9.5172544909097684E-2</v>
      </c>
      <c r="M329" s="175">
        <f t="shared" si="136"/>
        <v>4.5584227522377493E-2</v>
      </c>
      <c r="N329" s="175">
        <f t="shared" si="137"/>
        <v>6.2763117876022557E-3</v>
      </c>
      <c r="O329" s="175">
        <f t="shared" si="138"/>
        <v>4.7187470283260938E-2</v>
      </c>
      <c r="P329" s="175">
        <f t="shared" si="139"/>
        <v>5.5697284078423885E-2</v>
      </c>
      <c r="Q329" s="175">
        <f t="shared" si="140"/>
        <v>7.696653788844332E-2</v>
      </c>
    </row>
    <row r="330" spans="1:17" x14ac:dyDescent="0.3">
      <c r="A330" s="220">
        <v>45431</v>
      </c>
      <c r="B330" s="222">
        <f t="shared" si="142"/>
        <v>714953386</v>
      </c>
      <c r="C330" s="222">
        <v>478745764</v>
      </c>
      <c r="D330" s="222">
        <v>71971981</v>
      </c>
      <c r="E330" s="222">
        <v>32681841</v>
      </c>
      <c r="F330" s="222">
        <v>4245623</v>
      </c>
      <c r="G330" s="222">
        <v>30975435</v>
      </c>
      <c r="H330" s="222">
        <v>39823937</v>
      </c>
      <c r="I330" s="222">
        <v>56508805</v>
      </c>
      <c r="K330" s="175">
        <f t="shared" si="133"/>
        <v>0.66961815046218975</v>
      </c>
      <c r="L330" s="175">
        <f t="shared" si="134"/>
        <v>0.10066667619083071</v>
      </c>
      <c r="M330" s="175">
        <f t="shared" si="136"/>
        <v>4.5711848688272383E-2</v>
      </c>
      <c r="N330" s="175">
        <f t="shared" si="137"/>
        <v>5.9383214110688889E-3</v>
      </c>
      <c r="O330" s="175">
        <f t="shared" si="138"/>
        <v>4.3325111268163151E-2</v>
      </c>
      <c r="P330" s="175">
        <f t="shared" si="139"/>
        <v>5.5701445408638153E-2</v>
      </c>
      <c r="Q330" s="175">
        <f t="shared" si="140"/>
        <v>7.9038446570837001E-2</v>
      </c>
    </row>
    <row r="331" spans="1:17" x14ac:dyDescent="0.3">
      <c r="A331" s="220">
        <v>45462</v>
      </c>
      <c r="B331" s="222">
        <f t="shared" si="142"/>
        <v>721090563</v>
      </c>
      <c r="C331" s="222">
        <v>487525341</v>
      </c>
      <c r="D331" s="222">
        <v>69660643</v>
      </c>
      <c r="E331" s="222">
        <v>32670680</v>
      </c>
      <c r="F331" s="222">
        <v>4155782</v>
      </c>
      <c r="G331" s="222">
        <v>32038331</v>
      </c>
      <c r="H331" s="222">
        <v>40749773</v>
      </c>
      <c r="I331" s="222">
        <v>54290013</v>
      </c>
      <c r="K331" s="175">
        <f t="shared" si="133"/>
        <v>0.67609446859450861</v>
      </c>
      <c r="L331" s="175">
        <f t="shared" si="134"/>
        <v>9.6604568932626561E-2</v>
      </c>
      <c r="M331" s="175">
        <f t="shared" si="136"/>
        <v>4.5307318770166735E-2</v>
      </c>
      <c r="N331" s="175">
        <f t="shared" si="137"/>
        <v>5.7631901084801741E-3</v>
      </c>
      <c r="O331" s="175">
        <f t="shared" si="138"/>
        <v>4.4430384536872661E-2</v>
      </c>
      <c r="P331" s="175">
        <f t="shared" si="139"/>
        <v>5.6511310910055554E-2</v>
      </c>
      <c r="Q331" s="175">
        <f t="shared" si="140"/>
        <v>7.5288758147289747E-2</v>
      </c>
    </row>
    <row r="332" spans="1:17" x14ac:dyDescent="0.3">
      <c r="A332" s="225">
        <v>45492</v>
      </c>
      <c r="B332" s="222">
        <f t="shared" si="142"/>
        <v>690267435</v>
      </c>
      <c r="C332" s="222">
        <v>463904030</v>
      </c>
      <c r="D332" s="222">
        <v>68275812</v>
      </c>
      <c r="E332" s="222">
        <v>29826028</v>
      </c>
      <c r="F332" s="222">
        <v>4418140</v>
      </c>
      <c r="G332" s="222">
        <v>19800580</v>
      </c>
      <c r="H332" s="222">
        <v>39447709</v>
      </c>
      <c r="I332" s="222">
        <v>64595136</v>
      </c>
      <c r="K332" s="175">
        <f t="shared" si="133"/>
        <v>0.67206419784239135</v>
      </c>
      <c r="L332" s="175">
        <f t="shared" si="134"/>
        <v>9.8912115128247352E-2</v>
      </c>
      <c r="M332" s="175">
        <f t="shared" si="136"/>
        <v>4.3209380144088642E-2</v>
      </c>
      <c r="N332" s="175">
        <f t="shared" si="137"/>
        <v>6.4006206521969268E-3</v>
      </c>
      <c r="O332" s="175">
        <f t="shared" si="138"/>
        <v>2.8685374676555617E-2</v>
      </c>
      <c r="P332" s="175">
        <f t="shared" si="139"/>
        <v>5.7148442762622868E-2</v>
      </c>
      <c r="Q332" s="175">
        <f t="shared" si="140"/>
        <v>9.357986879389725E-2</v>
      </c>
    </row>
    <row r="333" spans="1:17" x14ac:dyDescent="0.3">
      <c r="A333" s="220">
        <v>45523</v>
      </c>
      <c r="B333" s="222">
        <f>SUM(C333:I333)</f>
        <v>719686939</v>
      </c>
      <c r="C333" s="222">
        <v>471161373</v>
      </c>
      <c r="D333" s="222">
        <v>75549053</v>
      </c>
      <c r="E333" s="222">
        <v>32850443</v>
      </c>
      <c r="F333" s="222">
        <v>3993369</v>
      </c>
      <c r="G333" s="222">
        <v>29393684</v>
      </c>
      <c r="H333" s="222">
        <v>41666025</v>
      </c>
      <c r="I333" s="222">
        <v>65072992</v>
      </c>
      <c r="K333" s="175">
        <f>C333/$B333</f>
        <v>0.65467545326677101</v>
      </c>
      <c r="L333" s="175">
        <f t="shared" si="134"/>
        <v>0.10497488408637078</v>
      </c>
      <c r="M333" s="175">
        <f t="shared" si="136"/>
        <v>4.5645462241742867E-2</v>
      </c>
      <c r="N333" s="175">
        <f t="shared" si="137"/>
        <v>5.5487584720500258E-3</v>
      </c>
      <c r="O333" s="175">
        <f t="shared" si="138"/>
        <v>4.0842319635315767E-2</v>
      </c>
      <c r="P333" s="175">
        <f t="shared" si="139"/>
        <v>5.7894652163473538E-2</v>
      </c>
      <c r="Q333" s="175">
        <f t="shared" si="140"/>
        <v>9.041847013427598E-2</v>
      </c>
    </row>
    <row r="334" spans="1:17" x14ac:dyDescent="0.3">
      <c r="A334" s="220">
        <v>45554</v>
      </c>
      <c r="B334" s="222">
        <f t="shared" si="142"/>
        <v>689964567</v>
      </c>
      <c r="C334" s="222">
        <v>458123262</v>
      </c>
      <c r="D334" s="222">
        <v>66081555</v>
      </c>
      <c r="E334" s="222">
        <v>31645222</v>
      </c>
      <c r="F334" s="222">
        <v>4051786</v>
      </c>
      <c r="G334" s="222">
        <v>28577816</v>
      </c>
      <c r="H334" s="222">
        <v>40897862</v>
      </c>
      <c r="I334" s="222">
        <v>60587064</v>
      </c>
      <c r="K334" s="175">
        <f t="shared" si="133"/>
        <v>0.66398085338199697</v>
      </c>
      <c r="L334" s="175">
        <f t="shared" si="134"/>
        <v>9.5775287834454839E-2</v>
      </c>
      <c r="M334" s="175">
        <f t="shared" si="136"/>
        <v>4.5864995846953402E-2</v>
      </c>
      <c r="N334" s="175">
        <f t="shared" si="137"/>
        <v>5.8724551865284406E-3</v>
      </c>
      <c r="O334" s="175">
        <f t="shared" si="138"/>
        <v>4.1419251606292992E-2</v>
      </c>
      <c r="P334" s="175">
        <f t="shared" si="139"/>
        <v>5.9275307684024885E-2</v>
      </c>
      <c r="Q334" s="175">
        <f t="shared" si="140"/>
        <v>8.7811848459748515E-2</v>
      </c>
    </row>
    <row r="335" spans="1:17" x14ac:dyDescent="0.3">
      <c r="A335" s="225">
        <v>45584</v>
      </c>
      <c r="B335" s="222">
        <f>SUM(C335:I335)</f>
        <v>734652173</v>
      </c>
      <c r="C335" s="222">
        <v>487260786</v>
      </c>
      <c r="D335" s="222">
        <v>71145994</v>
      </c>
      <c r="E335" s="222">
        <v>34162230</v>
      </c>
      <c r="F335" s="222">
        <v>5015764</v>
      </c>
      <c r="G335" s="222">
        <v>32792786</v>
      </c>
      <c r="H335" s="303">
        <v>41989923</v>
      </c>
      <c r="I335" s="222">
        <v>62284690</v>
      </c>
      <c r="K335" s="175">
        <f>C335/$B335</f>
        <v>0.66325371911749587</v>
      </c>
      <c r="L335" s="175">
        <f t="shared" ref="L335:L337" si="151">D335/$B335</f>
        <v>9.6843100197295681E-2</v>
      </c>
      <c r="M335" s="175">
        <f t="shared" ref="M335:M337" si="152">E335/$B335</f>
        <v>4.6501230453721128E-2</v>
      </c>
      <c r="N335" s="175">
        <f t="shared" ref="N335:N337" si="153">F335/$B335</f>
        <v>6.8273996652290581E-3</v>
      </c>
      <c r="O335" s="175">
        <f t="shared" ref="O335:O337" si="154">G335/$B335</f>
        <v>4.4637159196152E-2</v>
      </c>
      <c r="P335" s="175">
        <f t="shared" ref="P335:P337" si="155">H335/$B335</f>
        <v>5.7156195194429785E-2</v>
      </c>
      <c r="Q335" s="175">
        <f t="shared" ref="Q335:Q337" si="156">I335/$B335</f>
        <v>8.4781196175676463E-2</v>
      </c>
    </row>
    <row r="336" spans="1:17" x14ac:dyDescent="0.3">
      <c r="A336" s="220">
        <v>45615</v>
      </c>
      <c r="B336" s="222">
        <f t="shared" si="142"/>
        <v>702175184</v>
      </c>
      <c r="C336" s="222">
        <v>473513697</v>
      </c>
      <c r="D336" s="222">
        <v>67293276</v>
      </c>
      <c r="E336" s="222">
        <v>34341831</v>
      </c>
      <c r="F336" s="222">
        <v>3695318</v>
      </c>
      <c r="G336" s="222">
        <v>30220422</v>
      </c>
      <c r="H336" s="222">
        <v>40082160</v>
      </c>
      <c r="I336" s="222">
        <v>53028480</v>
      </c>
      <c r="K336" s="175">
        <f t="shared" ref="K336:K337" si="157">C336/$B336</f>
        <v>0.67435265128936828</v>
      </c>
      <c r="L336" s="175">
        <f t="shared" si="151"/>
        <v>9.5835451798023094E-2</v>
      </c>
      <c r="M336" s="175">
        <f t="shared" si="152"/>
        <v>4.8907782249393766E-2</v>
      </c>
      <c r="N336" s="175">
        <f t="shared" si="153"/>
        <v>5.2626724558240724E-3</v>
      </c>
      <c r="O336" s="175">
        <f t="shared" si="154"/>
        <v>4.3038293987900315E-2</v>
      </c>
      <c r="P336" s="175">
        <f t="shared" si="155"/>
        <v>5.7082849000257466E-2</v>
      </c>
      <c r="Q336" s="175">
        <f t="shared" si="156"/>
        <v>7.552029921923302E-2</v>
      </c>
    </row>
    <row r="337" spans="1:17" ht="13.5" thickBot="1" x14ac:dyDescent="0.35">
      <c r="A337" s="228">
        <v>45645</v>
      </c>
      <c r="B337" s="229">
        <f>SUM(C337:I337)</f>
        <v>827261693</v>
      </c>
      <c r="C337" s="229">
        <v>574155535</v>
      </c>
      <c r="D337" s="229">
        <v>74309240</v>
      </c>
      <c r="E337" s="229">
        <v>36594265</v>
      </c>
      <c r="F337" s="229">
        <v>4596003</v>
      </c>
      <c r="G337" s="229">
        <v>32632952</v>
      </c>
      <c r="H337" s="229">
        <v>43677191</v>
      </c>
      <c r="I337" s="229">
        <v>61296507</v>
      </c>
      <c r="K337" s="180">
        <f t="shared" si="157"/>
        <v>0.69404342042947709</v>
      </c>
      <c r="L337" s="180">
        <f t="shared" si="151"/>
        <v>8.9825554149042405E-2</v>
      </c>
      <c r="M337" s="180">
        <f t="shared" si="152"/>
        <v>4.4235415841985565E-2</v>
      </c>
      <c r="N337" s="180">
        <f t="shared" si="153"/>
        <v>5.5556821243988143E-3</v>
      </c>
      <c r="O337" s="180">
        <f t="shared" si="154"/>
        <v>3.9446951643148306E-2</v>
      </c>
      <c r="P337" s="180">
        <f t="shared" si="155"/>
        <v>5.2797308722960533E-2</v>
      </c>
      <c r="Q337" s="180">
        <f t="shared" si="156"/>
        <v>7.409566708898728E-2</v>
      </c>
    </row>
    <row r="338" spans="1:17" x14ac:dyDescent="0.3">
      <c r="B338" s="283"/>
      <c r="H338" s="221"/>
      <c r="I338" s="221"/>
      <c r="P338" s="182"/>
      <c r="Q338" s="182"/>
    </row>
    <row r="339" spans="1:17" ht="13.5" thickBot="1" x14ac:dyDescent="0.35"/>
    <row r="340" spans="1:17" ht="39.5" thickBot="1" x14ac:dyDescent="0.3">
      <c r="A340" s="257" t="s">
        <v>9</v>
      </c>
      <c r="B340" s="258" t="s">
        <v>1</v>
      </c>
      <c r="C340" s="259" t="s">
        <v>2</v>
      </c>
      <c r="D340" s="260" t="s">
        <v>3</v>
      </c>
      <c r="E340" s="260" t="s">
        <v>4</v>
      </c>
      <c r="F340" s="260" t="s">
        <v>5</v>
      </c>
      <c r="G340" s="258" t="s">
        <v>6</v>
      </c>
      <c r="H340" s="261" t="s">
        <v>7</v>
      </c>
      <c r="I340" s="262" t="s">
        <v>8</v>
      </c>
      <c r="J340" s="217"/>
      <c r="K340" s="263" t="s">
        <v>2</v>
      </c>
      <c r="L340" s="264" t="s">
        <v>3</v>
      </c>
      <c r="M340" s="264" t="s">
        <v>4</v>
      </c>
      <c r="N340" s="264" t="s">
        <v>5</v>
      </c>
      <c r="O340" s="264" t="s">
        <v>6</v>
      </c>
      <c r="P340" s="264" t="s">
        <v>7</v>
      </c>
      <c r="Q340" s="263" t="s">
        <v>8</v>
      </c>
    </row>
    <row r="341" spans="1:17" x14ac:dyDescent="0.3">
      <c r="A341" s="265">
        <v>1976</v>
      </c>
      <c r="B341" s="186">
        <v>680000000</v>
      </c>
      <c r="C341" s="187"/>
      <c r="D341" s="186"/>
      <c r="E341" s="187"/>
      <c r="F341" s="186"/>
      <c r="G341" s="187"/>
      <c r="H341" s="179"/>
      <c r="I341" s="179"/>
      <c r="K341" s="234"/>
      <c r="L341" s="234"/>
      <c r="M341" s="234"/>
      <c r="N341" s="234"/>
      <c r="O341" s="234"/>
      <c r="P341" s="234"/>
      <c r="Q341" s="234"/>
    </row>
    <row r="342" spans="1:17" x14ac:dyDescent="0.3">
      <c r="A342" s="266">
        <v>1977</v>
      </c>
      <c r="B342" s="19">
        <v>800000000</v>
      </c>
      <c r="C342" s="178"/>
      <c r="D342" s="19"/>
      <c r="E342" s="178"/>
      <c r="F342" s="19"/>
      <c r="G342" s="178"/>
      <c r="H342" s="19"/>
      <c r="I342" s="19"/>
      <c r="K342" s="175"/>
      <c r="L342" s="175"/>
      <c r="M342" s="175"/>
      <c r="N342" s="175"/>
      <c r="O342" s="175"/>
      <c r="P342" s="175"/>
      <c r="Q342" s="175"/>
    </row>
    <row r="343" spans="1:17" x14ac:dyDescent="0.3">
      <c r="A343" s="266">
        <v>1978</v>
      </c>
      <c r="B343" s="19">
        <v>1100000000</v>
      </c>
      <c r="C343" s="178"/>
      <c r="D343" s="19"/>
      <c r="E343" s="178"/>
      <c r="F343" s="19"/>
      <c r="G343" s="178"/>
      <c r="H343" s="19"/>
      <c r="I343" s="19"/>
      <c r="K343" s="175"/>
      <c r="L343" s="175"/>
      <c r="M343" s="175"/>
      <c r="N343" s="175"/>
      <c r="O343" s="175"/>
      <c r="P343" s="175"/>
      <c r="Q343" s="175"/>
    </row>
    <row r="344" spans="1:17" x14ac:dyDescent="0.3">
      <c r="A344" s="266">
        <v>1979</v>
      </c>
      <c r="B344" s="19">
        <v>1350000000</v>
      </c>
      <c r="C344" s="178"/>
      <c r="D344" s="19"/>
      <c r="E344" s="178"/>
      <c r="F344" s="19"/>
      <c r="G344" s="178"/>
      <c r="H344" s="19"/>
      <c r="I344" s="19"/>
      <c r="K344" s="175"/>
      <c r="L344" s="175"/>
      <c r="M344" s="175"/>
      <c r="N344" s="175"/>
      <c r="O344" s="175"/>
      <c r="P344" s="175"/>
      <c r="Q344" s="175"/>
    </row>
    <row r="345" spans="1:17" x14ac:dyDescent="0.3">
      <c r="A345" s="266">
        <v>1980</v>
      </c>
      <c r="B345" s="19">
        <v>1575000000</v>
      </c>
      <c r="C345" s="178"/>
      <c r="D345" s="19"/>
      <c r="E345" s="178"/>
      <c r="F345" s="19"/>
      <c r="G345" s="178"/>
      <c r="H345" s="19"/>
      <c r="I345" s="19"/>
      <c r="K345" s="175"/>
      <c r="L345" s="175"/>
      <c r="M345" s="175"/>
      <c r="N345" s="175"/>
      <c r="O345" s="175"/>
      <c r="P345" s="175"/>
      <c r="Q345" s="175"/>
    </row>
    <row r="346" spans="1:17" x14ac:dyDescent="0.3">
      <c r="A346" s="266">
        <v>1981</v>
      </c>
      <c r="B346" s="19">
        <v>2080000000</v>
      </c>
      <c r="C346" s="178"/>
      <c r="D346" s="19"/>
      <c r="E346" s="178"/>
      <c r="F346" s="19"/>
      <c r="G346" s="178"/>
      <c r="H346" s="19"/>
      <c r="I346" s="19"/>
      <c r="K346" s="175"/>
      <c r="L346" s="175"/>
      <c r="M346" s="175"/>
      <c r="N346" s="175"/>
      <c r="O346" s="175"/>
      <c r="P346" s="175"/>
      <c r="Q346" s="175"/>
    </row>
    <row r="347" spans="1:17" x14ac:dyDescent="0.3">
      <c r="A347" s="266">
        <v>1982</v>
      </c>
      <c r="B347" s="19">
        <v>2089999999.9999998</v>
      </c>
      <c r="C347" s="178"/>
      <c r="D347" s="19"/>
      <c r="E347" s="178"/>
      <c r="F347" s="19"/>
      <c r="G347" s="178"/>
      <c r="H347" s="19"/>
      <c r="I347" s="19"/>
      <c r="K347" s="175"/>
      <c r="L347" s="175"/>
      <c r="M347" s="175"/>
      <c r="N347" s="175"/>
      <c r="O347" s="175"/>
      <c r="P347" s="175"/>
      <c r="Q347" s="175"/>
    </row>
    <row r="348" spans="1:17" x14ac:dyDescent="0.3">
      <c r="A348" s="266">
        <v>1983</v>
      </c>
      <c r="B348" s="19">
        <v>1750000000</v>
      </c>
      <c r="C348" s="178"/>
      <c r="D348" s="19"/>
      <c r="E348" s="178"/>
      <c r="F348" s="19"/>
      <c r="G348" s="178"/>
      <c r="H348" s="19"/>
      <c r="I348" s="19"/>
      <c r="K348" s="175"/>
      <c r="L348" s="175"/>
      <c r="M348" s="175"/>
      <c r="N348" s="175"/>
      <c r="O348" s="175"/>
      <c r="P348" s="175"/>
      <c r="Q348" s="175"/>
    </row>
    <row r="349" spans="1:17" x14ac:dyDescent="0.3">
      <c r="A349" s="266">
        <v>1984</v>
      </c>
      <c r="B349" s="19">
        <v>1925000000</v>
      </c>
      <c r="C349" s="178"/>
      <c r="D349" s="19"/>
      <c r="E349" s="178"/>
      <c r="F349" s="19"/>
      <c r="G349" s="178"/>
      <c r="H349" s="19"/>
      <c r="I349" s="19"/>
      <c r="K349" s="175"/>
      <c r="L349" s="175"/>
      <c r="M349" s="175"/>
      <c r="N349" s="175"/>
      <c r="O349" s="175"/>
      <c r="P349" s="175"/>
      <c r="Q349" s="175"/>
    </row>
    <row r="350" spans="1:17" x14ac:dyDescent="0.3">
      <c r="A350" s="266">
        <v>1985</v>
      </c>
      <c r="B350" s="19">
        <v>1975000000</v>
      </c>
      <c r="C350" s="178"/>
      <c r="D350" s="19"/>
      <c r="E350" s="178"/>
      <c r="F350" s="19"/>
      <c r="G350" s="178"/>
      <c r="H350" s="19"/>
      <c r="I350" s="19"/>
      <c r="K350" s="175"/>
      <c r="L350" s="175"/>
      <c r="M350" s="175"/>
      <c r="N350" s="175"/>
      <c r="O350" s="175"/>
      <c r="P350" s="175"/>
      <c r="Q350" s="175"/>
    </row>
    <row r="351" spans="1:17" x14ac:dyDescent="0.3">
      <c r="A351" s="266">
        <v>1986</v>
      </c>
      <c r="B351" s="19">
        <v>1590000000</v>
      </c>
      <c r="C351" s="178"/>
      <c r="D351" s="19"/>
      <c r="E351" s="178"/>
      <c r="F351" s="19"/>
      <c r="G351" s="178"/>
      <c r="H351" s="19"/>
      <c r="I351" s="19"/>
      <c r="K351" s="175"/>
      <c r="L351" s="175"/>
      <c r="M351" s="175"/>
      <c r="N351" s="175"/>
      <c r="O351" s="175"/>
      <c r="P351" s="175"/>
      <c r="Q351" s="175"/>
    </row>
    <row r="352" spans="1:17" x14ac:dyDescent="0.3">
      <c r="A352" s="266">
        <v>1987</v>
      </c>
      <c r="B352" s="19">
        <v>1575000000</v>
      </c>
      <c r="C352" s="178"/>
      <c r="D352" s="19"/>
      <c r="E352" s="178"/>
      <c r="F352" s="19"/>
      <c r="G352" s="178"/>
      <c r="H352" s="19"/>
      <c r="I352" s="19"/>
      <c r="K352" s="175"/>
      <c r="L352" s="175"/>
      <c r="M352" s="175"/>
      <c r="N352" s="175"/>
      <c r="O352" s="175"/>
      <c r="P352" s="175"/>
      <c r="Q352" s="175"/>
    </row>
    <row r="353" spans="1:17" x14ac:dyDescent="0.3">
      <c r="A353" s="266">
        <v>1988</v>
      </c>
      <c r="B353" s="19">
        <v>1615000000</v>
      </c>
      <c r="C353" s="178"/>
      <c r="D353" s="19"/>
      <c r="E353" s="178"/>
      <c r="F353" s="19"/>
      <c r="G353" s="178"/>
      <c r="H353" s="19"/>
      <c r="I353" s="19"/>
      <c r="K353" s="175"/>
      <c r="L353" s="175"/>
      <c r="M353" s="175"/>
      <c r="N353" s="175"/>
      <c r="O353" s="175"/>
      <c r="P353" s="175"/>
      <c r="Q353" s="175"/>
    </row>
    <row r="354" spans="1:17" x14ac:dyDescent="0.3">
      <c r="A354" s="266">
        <v>1989</v>
      </c>
      <c r="B354" s="19">
        <v>1700000000</v>
      </c>
      <c r="C354" s="178"/>
      <c r="D354" s="19"/>
      <c r="E354" s="178"/>
      <c r="F354" s="19"/>
      <c r="G354" s="178"/>
      <c r="H354" s="19"/>
      <c r="I354" s="19"/>
      <c r="K354" s="175"/>
      <c r="L354" s="175"/>
      <c r="M354" s="175"/>
      <c r="N354" s="175"/>
      <c r="O354" s="175"/>
      <c r="P354" s="175"/>
      <c r="Q354" s="175"/>
    </row>
    <row r="355" spans="1:17" x14ac:dyDescent="0.3">
      <c r="A355" s="266">
        <v>1990</v>
      </c>
      <c r="B355" s="19">
        <v>1950000000</v>
      </c>
      <c r="C355" s="178"/>
      <c r="D355" s="19"/>
      <c r="E355" s="178"/>
      <c r="F355" s="19"/>
      <c r="G355" s="178"/>
      <c r="H355" s="19"/>
      <c r="I355" s="19"/>
      <c r="K355" s="175"/>
      <c r="L355" s="175"/>
      <c r="M355" s="175"/>
      <c r="N355" s="175"/>
      <c r="O355" s="175"/>
      <c r="P355" s="175"/>
      <c r="Q355" s="175"/>
    </row>
    <row r="356" spans="1:17" x14ac:dyDescent="0.3">
      <c r="A356" s="266">
        <v>1991</v>
      </c>
      <c r="B356" s="19">
        <v>2055159356</v>
      </c>
      <c r="C356" s="178"/>
      <c r="D356" s="19"/>
      <c r="E356" s="178"/>
      <c r="F356" s="19"/>
      <c r="G356" s="178"/>
      <c r="H356" s="19"/>
      <c r="I356" s="19"/>
      <c r="K356" s="175"/>
      <c r="L356" s="175"/>
      <c r="M356" s="175"/>
      <c r="N356" s="175"/>
      <c r="O356" s="175"/>
      <c r="P356" s="175"/>
      <c r="Q356" s="175"/>
    </row>
    <row r="357" spans="1:17" x14ac:dyDescent="0.3">
      <c r="A357" s="266">
        <v>1992</v>
      </c>
      <c r="B357" s="19">
        <v>2042788619</v>
      </c>
      <c r="C357" s="178"/>
      <c r="D357" s="19"/>
      <c r="E357" s="178"/>
      <c r="F357" s="19"/>
      <c r="G357" s="178"/>
      <c r="H357" s="19"/>
      <c r="I357" s="19"/>
      <c r="K357" s="175"/>
      <c r="L357" s="175"/>
      <c r="M357" s="175"/>
      <c r="N357" s="175"/>
      <c r="O357" s="175"/>
      <c r="P357" s="175"/>
      <c r="Q357" s="175"/>
    </row>
    <row r="358" spans="1:17" x14ac:dyDescent="0.3">
      <c r="A358" s="266">
        <v>1993</v>
      </c>
      <c r="B358" s="19">
        <v>2204697510</v>
      </c>
      <c r="C358" s="178"/>
      <c r="D358" s="19"/>
      <c r="E358" s="178"/>
      <c r="F358" s="19"/>
      <c r="G358" s="178"/>
      <c r="H358" s="19"/>
      <c r="I358" s="19"/>
      <c r="K358" s="175"/>
      <c r="L358" s="175"/>
      <c r="M358" s="175"/>
      <c r="N358" s="175"/>
      <c r="O358" s="175"/>
      <c r="P358" s="175"/>
      <c r="Q358" s="175"/>
    </row>
    <row r="359" spans="1:17" x14ac:dyDescent="0.3">
      <c r="A359" s="266">
        <v>1994</v>
      </c>
      <c r="B359" s="19">
        <v>2435719067</v>
      </c>
      <c r="C359" s="178"/>
      <c r="D359" s="19"/>
      <c r="E359" s="178"/>
      <c r="F359" s="19"/>
      <c r="G359" s="178"/>
      <c r="H359" s="19"/>
      <c r="I359" s="19"/>
      <c r="K359" s="175"/>
      <c r="L359" s="175"/>
      <c r="M359" s="175"/>
      <c r="N359" s="175"/>
      <c r="O359" s="175"/>
      <c r="P359" s="175"/>
      <c r="Q359" s="175"/>
    </row>
    <row r="360" spans="1:17" x14ac:dyDescent="0.3">
      <c r="A360" s="266">
        <v>1995</v>
      </c>
      <c r="B360" s="19">
        <v>2592821998</v>
      </c>
      <c r="C360" s="178"/>
      <c r="D360" s="19"/>
      <c r="E360" s="178"/>
      <c r="F360" s="19"/>
      <c r="G360" s="178"/>
      <c r="H360" s="19"/>
      <c r="I360" s="19"/>
      <c r="K360" s="175"/>
      <c r="L360" s="175"/>
      <c r="M360" s="175"/>
      <c r="N360" s="175"/>
      <c r="O360" s="175"/>
      <c r="P360" s="175"/>
      <c r="Q360" s="175"/>
    </row>
    <row r="361" spans="1:17" x14ac:dyDescent="0.3">
      <c r="A361" s="266">
        <v>1996</v>
      </c>
      <c r="B361" s="19">
        <v>2846973136</v>
      </c>
      <c r="C361" s="178"/>
      <c r="D361" s="19"/>
      <c r="E361" s="178"/>
      <c r="F361" s="19"/>
      <c r="G361" s="178"/>
      <c r="H361" s="19"/>
      <c r="I361" s="19"/>
      <c r="K361" s="175"/>
      <c r="L361" s="175"/>
      <c r="M361" s="175"/>
      <c r="N361" s="175"/>
      <c r="O361" s="175"/>
      <c r="P361" s="175"/>
      <c r="Q361" s="175"/>
    </row>
    <row r="362" spans="1:17" x14ac:dyDescent="0.3">
      <c r="A362" s="266">
        <v>1997</v>
      </c>
      <c r="B362" s="19">
        <f>SUM(B2:B13)</f>
        <v>3167150717</v>
      </c>
      <c r="C362" s="178"/>
      <c r="D362" s="19"/>
      <c r="E362" s="178"/>
      <c r="F362" s="19"/>
      <c r="G362" s="178"/>
      <c r="H362" s="19"/>
      <c r="I362" s="19"/>
      <c r="K362" s="175"/>
      <c r="L362" s="175"/>
      <c r="M362" s="175"/>
      <c r="N362" s="175"/>
      <c r="O362" s="175"/>
      <c r="P362" s="175"/>
      <c r="Q362" s="175"/>
    </row>
    <row r="363" spans="1:17" s="217" customFormat="1" x14ac:dyDescent="0.3">
      <c r="A363" s="266">
        <v>1998</v>
      </c>
      <c r="B363" s="19">
        <f t="shared" ref="B363:B388" ca="1" si="158">SUM(OFFSET($B$2,(12*(ROW(B2)-1)),0,12,1))</f>
        <v>3308874111</v>
      </c>
      <c r="C363" s="178"/>
      <c r="D363" s="19"/>
      <c r="E363" s="178"/>
      <c r="F363" s="19"/>
      <c r="G363" s="178"/>
      <c r="H363" s="19"/>
      <c r="I363" s="19"/>
      <c r="J363" s="174"/>
      <c r="K363" s="175"/>
      <c r="L363" s="175"/>
      <c r="M363" s="175"/>
      <c r="N363" s="175"/>
      <c r="O363" s="175"/>
      <c r="P363" s="175"/>
      <c r="Q363" s="175"/>
    </row>
    <row r="364" spans="1:17" x14ac:dyDescent="0.3">
      <c r="A364" s="266">
        <v>1999</v>
      </c>
      <c r="B364" s="19">
        <f t="shared" ca="1" si="158"/>
        <v>3224037651</v>
      </c>
      <c r="C364" s="178">
        <f t="shared" ref="C364:C389" ca="1" si="159">SUM(OFFSET($C$2,(12*(ROW(C3)-1)),0,12,1))</f>
        <v>2438428033</v>
      </c>
      <c r="D364" s="19">
        <f t="shared" ref="D364:D389" ca="1" si="160">SUM(OFFSET($D$2,(12*(ROW(D3)-1)),0,12,1))</f>
        <v>127277356</v>
      </c>
      <c r="E364" s="178">
        <f t="shared" ref="E364:E389" ca="1" si="161">SUM(OFFSET($E$2,(12*(ROW(E3)-1)),0,12,1))</f>
        <v>67747929</v>
      </c>
      <c r="F364" s="19">
        <f t="shared" ref="F364:F389" ca="1" si="162">SUM(OFFSET($F$2,(12*(ROW(F3)-1)),0,12,1))</f>
        <v>15390606</v>
      </c>
      <c r="G364" s="178">
        <f t="shared" ref="G364:G389" ca="1" si="163">SUM(OFFSET($G$2,(12*(ROW(G3)-1)),0,12,1))</f>
        <v>107475752</v>
      </c>
      <c r="H364" s="19">
        <f t="shared" ref="H364:H389" ca="1" si="164">SUM(OFFSET($H$2,(12*(ROW(H3)-1)),0,12,1))</f>
        <v>30088327</v>
      </c>
      <c r="I364" s="19">
        <f t="shared" ref="I364:I389" ca="1" si="165">SUM(OFFSET($I$2,(12*(ROW(I3)-1)),0,12,1))</f>
        <v>418863027</v>
      </c>
      <c r="K364" s="175">
        <f t="shared" ref="K364:K385" ca="1" si="166">C364/$B364</f>
        <v>0.75632740586750669</v>
      </c>
      <c r="L364" s="175">
        <f t="shared" ref="L364:L385" ca="1" si="167">D364/$B364</f>
        <v>3.9477627055788993E-2</v>
      </c>
      <c r="M364" s="175">
        <f t="shared" ref="M364:M385" ca="1" si="168">E364/$B364</f>
        <v>2.1013380218741124E-2</v>
      </c>
      <c r="N364" s="175">
        <f t="shared" ref="N364:N385" ca="1" si="169">F364/$B364</f>
        <v>4.7737054172510346E-3</v>
      </c>
      <c r="O364" s="175">
        <f t="shared" ref="O364:O385" ca="1" si="170">G364/$B364</f>
        <v>3.3335762058071573E-2</v>
      </c>
      <c r="P364" s="175">
        <f t="shared" ref="P364:P385" ca="1" si="171">H364/$B364</f>
        <v>9.3324986420885939E-3</v>
      </c>
      <c r="Q364" s="175">
        <f t="shared" ref="Q364:Q385" ca="1" si="172">I364/$B364</f>
        <v>0.12991877649756392</v>
      </c>
    </row>
    <row r="365" spans="1:17" x14ac:dyDescent="0.3">
      <c r="A365" s="266">
        <v>2000</v>
      </c>
      <c r="B365" s="19">
        <f t="shared" ca="1" si="158"/>
        <v>3521214778</v>
      </c>
      <c r="C365" s="178">
        <f t="shared" ca="1" si="159"/>
        <v>2623315469</v>
      </c>
      <c r="D365" s="19">
        <f t="shared" ca="1" si="160"/>
        <v>163366148</v>
      </c>
      <c r="E365" s="178">
        <f t="shared" ca="1" si="161"/>
        <v>65638356</v>
      </c>
      <c r="F365" s="19">
        <f t="shared" ca="1" si="162"/>
        <v>16067046</v>
      </c>
      <c r="G365" s="178">
        <f t="shared" ca="1" si="163"/>
        <v>119871162</v>
      </c>
      <c r="H365" s="19">
        <f t="shared" ca="1" si="164"/>
        <v>34721145</v>
      </c>
      <c r="I365" s="19">
        <f t="shared" ca="1" si="165"/>
        <v>460838499</v>
      </c>
      <c r="K365" s="175">
        <f t="shared" ca="1" si="166"/>
        <v>0.74500297039250929</v>
      </c>
      <c r="L365" s="175">
        <f t="shared" ca="1" si="167"/>
        <v>4.6394826302753864E-2</v>
      </c>
      <c r="M365" s="175">
        <f t="shared" ca="1" si="168"/>
        <v>1.8640827140138736E-2</v>
      </c>
      <c r="N365" s="175">
        <f t="shared" ca="1" si="169"/>
        <v>4.5629270047326835E-3</v>
      </c>
      <c r="O365" s="175">
        <f t="shared" ca="1" si="170"/>
        <v>3.4042559047785526E-2</v>
      </c>
      <c r="P365" s="175">
        <f t="shared" ca="1" si="171"/>
        <v>9.8605586960875801E-3</v>
      </c>
      <c r="Q365" s="175">
        <f t="shared" ca="1" si="172"/>
        <v>0.13087486224335049</v>
      </c>
    </row>
    <row r="366" spans="1:17" x14ac:dyDescent="0.3">
      <c r="A366" s="266">
        <v>2001</v>
      </c>
      <c r="B366" s="19">
        <f t="shared" ca="1" si="158"/>
        <v>3642235867</v>
      </c>
      <c r="C366" s="178">
        <f t="shared" ca="1" si="159"/>
        <v>2686349272</v>
      </c>
      <c r="D366" s="19">
        <f t="shared" ca="1" si="160"/>
        <v>181781652</v>
      </c>
      <c r="E366" s="178">
        <f t="shared" ca="1" si="161"/>
        <v>66781742</v>
      </c>
      <c r="F366" s="19">
        <f t="shared" ca="1" si="162"/>
        <v>17395842</v>
      </c>
      <c r="G366" s="178">
        <f t="shared" ca="1" si="163"/>
        <v>118691498</v>
      </c>
      <c r="H366" s="19">
        <f t="shared" ca="1" si="164"/>
        <v>35869856</v>
      </c>
      <c r="I366" s="19">
        <f t="shared" ca="1" si="165"/>
        <v>523251280</v>
      </c>
      <c r="K366" s="175">
        <f t="shared" ca="1" si="166"/>
        <v>0.73755499920785328</v>
      </c>
      <c r="L366" s="175">
        <f t="shared" ca="1" si="167"/>
        <v>4.9909357504001536E-2</v>
      </c>
      <c r="M366" s="175">
        <f t="shared" ca="1" si="168"/>
        <v>1.8335369931713433E-2</v>
      </c>
      <c r="N366" s="175">
        <f t="shared" ca="1" si="169"/>
        <v>4.7761437301775929E-3</v>
      </c>
      <c r="O366" s="175">
        <f t="shared" ca="1" si="170"/>
        <v>3.2587537527535966E-2</v>
      </c>
      <c r="P366" s="175">
        <f t="shared" ca="1" si="171"/>
        <v>9.8483067296640837E-3</v>
      </c>
      <c r="Q366" s="175">
        <f t="shared" ca="1" si="172"/>
        <v>0.14366210731733481</v>
      </c>
    </row>
    <row r="367" spans="1:17" x14ac:dyDescent="0.3">
      <c r="A367" s="266">
        <v>2002</v>
      </c>
      <c r="B367" s="19">
        <f t="shared" ca="1" si="158"/>
        <v>3627269007</v>
      </c>
      <c r="C367" s="178">
        <f t="shared" ca="1" si="159"/>
        <v>2762332637</v>
      </c>
      <c r="D367" s="19">
        <f t="shared" ca="1" si="160"/>
        <v>180333878</v>
      </c>
      <c r="E367" s="178">
        <f t="shared" ca="1" si="161"/>
        <v>67276045</v>
      </c>
      <c r="F367" s="19">
        <f t="shared" ca="1" si="162"/>
        <v>18833124</v>
      </c>
      <c r="G367" s="178">
        <f t="shared" ca="1" si="163"/>
        <v>78239818</v>
      </c>
      <c r="H367" s="19">
        <f t="shared" ca="1" si="164"/>
        <v>40946631</v>
      </c>
      <c r="I367" s="19">
        <f t="shared" ca="1" si="165"/>
        <v>439210516</v>
      </c>
      <c r="K367" s="175">
        <f t="shared" ca="1" si="166"/>
        <v>0.76154611959277829</v>
      </c>
      <c r="L367" s="175">
        <f t="shared" ca="1" si="167"/>
        <v>4.9716157707627114E-2</v>
      </c>
      <c r="M367" s="175">
        <f t="shared" ca="1" si="168"/>
        <v>1.8547299599276729E-2</v>
      </c>
      <c r="N367" s="175">
        <f t="shared" ca="1" si="169"/>
        <v>5.1920946485235417E-3</v>
      </c>
      <c r="O367" s="175">
        <f t="shared" ca="1" si="170"/>
        <v>2.156989675952093E-2</v>
      </c>
      <c r="P367" s="175">
        <f t="shared" ca="1" si="171"/>
        <v>1.1288556465202913E-2</v>
      </c>
      <c r="Q367" s="175">
        <f t="shared" ca="1" si="172"/>
        <v>0.12108573010504595</v>
      </c>
    </row>
    <row r="368" spans="1:17" x14ac:dyDescent="0.3">
      <c r="A368" s="266">
        <v>2003</v>
      </c>
      <c r="B368" s="19">
        <f t="shared" ca="1" si="158"/>
        <v>3722056072</v>
      </c>
      <c r="C368" s="178">
        <f t="shared" ca="1" si="159"/>
        <v>2831177074</v>
      </c>
      <c r="D368" s="19">
        <f t="shared" ca="1" si="160"/>
        <v>199786221</v>
      </c>
      <c r="E368" s="178">
        <f t="shared" ca="1" si="161"/>
        <v>75919273</v>
      </c>
      <c r="F368" s="19">
        <f t="shared" ca="1" si="162"/>
        <v>21261758</v>
      </c>
      <c r="G368" s="178">
        <f t="shared" ca="1" si="163"/>
        <v>76781010</v>
      </c>
      <c r="H368" s="19">
        <f t="shared" ca="1" si="164"/>
        <v>45269686</v>
      </c>
      <c r="I368" s="19">
        <f t="shared" ca="1" si="165"/>
        <v>426423030</v>
      </c>
      <c r="K368" s="175">
        <f t="shared" ca="1" si="166"/>
        <v>0.7606486896578919</v>
      </c>
      <c r="L368" s="175">
        <f t="shared" ca="1" si="167"/>
        <v>5.3676306088706341E-2</v>
      </c>
      <c r="M368" s="175">
        <f t="shared" ca="1" si="168"/>
        <v>2.0397133071454708E-2</v>
      </c>
      <c r="N368" s="175">
        <f t="shared" ca="1" si="169"/>
        <v>5.7123690747021075E-3</v>
      </c>
      <c r="O368" s="175">
        <f t="shared" ca="1" si="170"/>
        <v>2.0628654838814046E-2</v>
      </c>
      <c r="P368" s="175">
        <f t="shared" ca="1" si="171"/>
        <v>1.2162548098227576E-2</v>
      </c>
      <c r="Q368" s="175">
        <f t="shared" ca="1" si="172"/>
        <v>0.11456652499350095</v>
      </c>
    </row>
    <row r="369" spans="1:91" x14ac:dyDescent="0.3">
      <c r="A369" s="266">
        <v>2004</v>
      </c>
      <c r="B369" s="19">
        <f t="shared" ca="1" si="158"/>
        <v>3855571455</v>
      </c>
      <c r="C369" s="178">
        <f t="shared" ca="1" si="159"/>
        <v>2895017584</v>
      </c>
      <c r="D369" s="19">
        <f t="shared" ca="1" si="160"/>
        <v>235158953</v>
      </c>
      <c r="E369" s="178">
        <f t="shared" ca="1" si="161"/>
        <v>84196729</v>
      </c>
      <c r="F369" s="19">
        <f t="shared" ca="1" si="162"/>
        <v>18203946</v>
      </c>
      <c r="G369" s="178">
        <f t="shared" ca="1" si="163"/>
        <v>84111830</v>
      </c>
      <c r="H369" s="19">
        <f t="shared" ca="1" si="164"/>
        <v>45722122</v>
      </c>
      <c r="I369" s="19">
        <f t="shared" ca="1" si="165"/>
        <v>455539669</v>
      </c>
      <c r="K369" s="175">
        <f t="shared" ca="1" si="166"/>
        <v>0.75086601760308969</v>
      </c>
      <c r="L369" s="175">
        <f t="shared" ca="1" si="167"/>
        <v>6.0991984131182439E-2</v>
      </c>
      <c r="M369" s="175">
        <f t="shared" ca="1" si="168"/>
        <v>2.1837678274853813E-2</v>
      </c>
      <c r="N369" s="175">
        <f t="shared" ca="1" si="169"/>
        <v>4.7214650830534281E-3</v>
      </c>
      <c r="O369" s="175">
        <f t="shared" ca="1" si="170"/>
        <v>2.1815658452113942E-2</v>
      </c>
      <c r="P369" s="175">
        <f t="shared" ca="1" si="171"/>
        <v>1.1858714728450027E-2</v>
      </c>
      <c r="Q369" s="175">
        <f t="shared" ca="1" si="172"/>
        <v>0.11815101193605035</v>
      </c>
    </row>
    <row r="370" spans="1:91" x14ac:dyDescent="0.3">
      <c r="A370" s="266">
        <v>2005</v>
      </c>
      <c r="B370" s="19">
        <f t="shared" ca="1" si="158"/>
        <v>4354058229</v>
      </c>
      <c r="C370" s="178">
        <f t="shared" ca="1" si="159"/>
        <v>3241236235</v>
      </c>
      <c r="D370" s="19">
        <f t="shared" ca="1" si="160"/>
        <v>283150193</v>
      </c>
      <c r="E370" s="178">
        <f t="shared" ca="1" si="161"/>
        <v>95028062</v>
      </c>
      <c r="F370" s="19">
        <f t="shared" ca="1" si="162"/>
        <v>20844091</v>
      </c>
      <c r="G370" s="178">
        <f t="shared" ca="1" si="163"/>
        <v>98716668</v>
      </c>
      <c r="H370" s="19">
        <f t="shared" ca="1" si="164"/>
        <v>66832191</v>
      </c>
      <c r="I370" s="19">
        <f t="shared" ca="1" si="165"/>
        <v>504540498</v>
      </c>
      <c r="K370" s="175">
        <f t="shared" ca="1" si="166"/>
        <v>0.74441729176056914</v>
      </c>
      <c r="L370" s="175">
        <f t="shared" ca="1" si="167"/>
        <v>6.5031328959748738E-2</v>
      </c>
      <c r="M370" s="175">
        <f t="shared" ca="1" si="168"/>
        <v>2.182517022098374E-2</v>
      </c>
      <c r="N370" s="175">
        <f t="shared" ca="1" si="169"/>
        <v>4.7872788795448144E-3</v>
      </c>
      <c r="O370" s="175">
        <f t="shared" ca="1" si="170"/>
        <v>2.2672335280796724E-2</v>
      </c>
      <c r="P370" s="175">
        <f t="shared" ca="1" si="171"/>
        <v>1.5349402209384187E-2</v>
      </c>
      <c r="Q370" s="175">
        <f t="shared" ca="1" si="172"/>
        <v>0.11587821555521048</v>
      </c>
    </row>
    <row r="371" spans="1:91" s="267" customFormat="1" x14ac:dyDescent="0.3">
      <c r="A371" s="266">
        <v>2006</v>
      </c>
      <c r="B371" s="19">
        <f t="shared" ca="1" si="158"/>
        <v>5001032171</v>
      </c>
      <c r="C371" s="178">
        <f t="shared" ca="1" si="159"/>
        <v>3555147511</v>
      </c>
      <c r="D371" s="19">
        <f t="shared" ca="1" si="160"/>
        <v>369714823</v>
      </c>
      <c r="E371" s="178">
        <f t="shared" ca="1" si="161"/>
        <v>110161751</v>
      </c>
      <c r="F371" s="19">
        <f t="shared" ca="1" si="162"/>
        <v>23251816</v>
      </c>
      <c r="G371" s="178">
        <f t="shared" ca="1" si="163"/>
        <v>129523396</v>
      </c>
      <c r="H371" s="19">
        <f t="shared" ca="1" si="164"/>
        <v>86970793</v>
      </c>
      <c r="I371" s="19">
        <f t="shared" ca="1" si="165"/>
        <v>650855030</v>
      </c>
      <c r="J371" s="174"/>
      <c r="K371" s="175">
        <f t="shared" ca="1" si="166"/>
        <v>0.71088275168786152</v>
      </c>
      <c r="L371" s="175">
        <f t="shared" ca="1" si="167"/>
        <v>7.392770339369209E-2</v>
      </c>
      <c r="M371" s="175">
        <f t="shared" ca="1" si="168"/>
        <v>2.2027802908128901E-2</v>
      </c>
      <c r="N371" s="175">
        <f t="shared" ca="1" si="169"/>
        <v>4.6494034041277919E-3</v>
      </c>
      <c r="O371" s="175">
        <f t="shared" ca="1" si="170"/>
        <v>2.58993326919752E-2</v>
      </c>
      <c r="P371" s="175">
        <f t="shared" ca="1" si="171"/>
        <v>1.7390568591885189E-2</v>
      </c>
      <c r="Q371" s="175">
        <f t="shared" ca="1" si="172"/>
        <v>0.13014413979861597</v>
      </c>
      <c r="R371" s="174"/>
      <c r="S371" s="174"/>
      <c r="T371" s="174"/>
      <c r="U371" s="174"/>
      <c r="V371" s="174"/>
      <c r="W371" s="174"/>
      <c r="X371" s="174"/>
      <c r="Y371" s="174"/>
      <c r="Z371" s="174"/>
      <c r="AA371" s="174"/>
      <c r="AB371" s="174"/>
      <c r="AC371" s="174"/>
      <c r="AD371" s="174"/>
      <c r="AE371" s="174"/>
      <c r="AF371" s="174"/>
      <c r="AG371" s="174"/>
      <c r="AH371" s="174"/>
      <c r="AI371" s="174"/>
      <c r="AJ371" s="174"/>
      <c r="AK371" s="174"/>
      <c r="AL371" s="174"/>
      <c r="AM371" s="174"/>
      <c r="AN371" s="174"/>
      <c r="AO371" s="174"/>
      <c r="AP371" s="174"/>
      <c r="AQ371" s="174"/>
      <c r="AR371" s="174"/>
      <c r="AS371" s="174"/>
      <c r="AT371" s="174"/>
      <c r="AU371" s="174"/>
      <c r="AV371" s="174"/>
      <c r="AW371" s="174"/>
      <c r="AX371" s="174"/>
      <c r="AY371" s="174"/>
      <c r="AZ371" s="174"/>
      <c r="BA371" s="174"/>
      <c r="BB371" s="174"/>
      <c r="BC371" s="174"/>
      <c r="BD371" s="174"/>
      <c r="BE371" s="174"/>
      <c r="BF371" s="174"/>
      <c r="BG371" s="174"/>
      <c r="BH371" s="174"/>
      <c r="BI371" s="174"/>
      <c r="BJ371" s="174"/>
      <c r="BK371" s="174"/>
      <c r="BL371" s="174"/>
      <c r="BM371" s="174"/>
      <c r="BN371" s="174"/>
      <c r="BO371" s="174"/>
      <c r="BP371" s="174"/>
      <c r="BQ371" s="174"/>
      <c r="BR371" s="174"/>
      <c r="BS371" s="174"/>
      <c r="BT371" s="174"/>
      <c r="BU371" s="174"/>
      <c r="BV371" s="174"/>
      <c r="BW371" s="174"/>
      <c r="BX371" s="174"/>
      <c r="BY371" s="174"/>
      <c r="BZ371" s="174"/>
      <c r="CA371" s="174"/>
      <c r="CB371" s="174"/>
      <c r="CC371" s="174"/>
      <c r="CD371" s="174"/>
      <c r="CE371" s="174"/>
      <c r="CF371" s="174"/>
      <c r="CG371" s="174"/>
      <c r="CH371" s="174"/>
      <c r="CI371" s="174"/>
      <c r="CJ371" s="174"/>
      <c r="CK371" s="174"/>
      <c r="CL371" s="174"/>
      <c r="CM371" s="174"/>
    </row>
    <row r="372" spans="1:91" x14ac:dyDescent="0.3">
      <c r="A372" s="266">
        <v>2007</v>
      </c>
      <c r="B372" s="19">
        <f t="shared" ca="1" si="158"/>
        <v>5268593527</v>
      </c>
      <c r="C372" s="178">
        <f t="shared" ca="1" si="159"/>
        <v>3718430981</v>
      </c>
      <c r="D372" s="19">
        <f t="shared" ca="1" si="160"/>
        <v>416769597</v>
      </c>
      <c r="E372" s="178">
        <f t="shared" ca="1" si="161"/>
        <v>112147126</v>
      </c>
      <c r="F372" s="19">
        <f t="shared" ca="1" si="162"/>
        <v>28408232</v>
      </c>
      <c r="G372" s="178">
        <f t="shared" ca="1" si="163"/>
        <v>142183327</v>
      </c>
      <c r="H372" s="19">
        <f t="shared" ca="1" si="164"/>
        <v>105279485</v>
      </c>
      <c r="I372" s="19">
        <f t="shared" ca="1" si="165"/>
        <v>660285199</v>
      </c>
      <c r="K372" s="175">
        <f t="shared" ca="1" si="166"/>
        <v>0.70577298513239428</v>
      </c>
      <c r="L372" s="175">
        <f t="shared" ca="1" si="167"/>
        <v>7.9104526637740757E-2</v>
      </c>
      <c r="M372" s="175">
        <f t="shared" ca="1" si="168"/>
        <v>2.1285970425556421E-2</v>
      </c>
      <c r="N372" s="175">
        <f t="shared" ca="1" si="169"/>
        <v>5.3919953882219469E-3</v>
      </c>
      <c r="O372" s="175">
        <f t="shared" ca="1" si="170"/>
        <v>2.6986960802983198E-2</v>
      </c>
      <c r="P372" s="175">
        <f t="shared" ca="1" si="171"/>
        <v>1.9982464857171738E-2</v>
      </c>
      <c r="Q372" s="175">
        <f t="shared" ca="1" si="172"/>
        <v>0.12532475614530358</v>
      </c>
    </row>
    <row r="373" spans="1:91" x14ac:dyDescent="0.3">
      <c r="A373" s="266">
        <v>2008</v>
      </c>
      <c r="B373" s="19">
        <f t="shared" ca="1" si="158"/>
        <v>5419061393</v>
      </c>
      <c r="C373" s="178">
        <f t="shared" ca="1" si="159"/>
        <v>3768667029</v>
      </c>
      <c r="D373" s="19">
        <f t="shared" ca="1" si="160"/>
        <v>495285038</v>
      </c>
      <c r="E373" s="178">
        <f t="shared" ca="1" si="161"/>
        <v>114567559</v>
      </c>
      <c r="F373" s="19">
        <f t="shared" ca="1" si="162"/>
        <v>50046819</v>
      </c>
      <c r="G373" s="178">
        <f t="shared" ca="1" si="163"/>
        <v>149480006</v>
      </c>
      <c r="H373" s="19">
        <f t="shared" ca="1" si="164"/>
        <v>100382610</v>
      </c>
      <c r="I373" s="19">
        <f t="shared" ca="1" si="165"/>
        <v>687083248</v>
      </c>
      <c r="K373" s="175">
        <f t="shared" ca="1" si="166"/>
        <v>0.69544645385788117</v>
      </c>
      <c r="L373" s="175">
        <f t="shared" ca="1" si="167"/>
        <v>9.1396830941937249E-2</v>
      </c>
      <c r="M373" s="175">
        <f t="shared" ca="1" si="168"/>
        <v>2.1141587203273082E-2</v>
      </c>
      <c r="N373" s="175">
        <f t="shared" ca="1" si="169"/>
        <v>9.2353297684811819E-3</v>
      </c>
      <c r="O373" s="175">
        <f t="shared" ca="1" si="170"/>
        <v>2.7584113771637428E-2</v>
      </c>
      <c r="P373" s="175">
        <f t="shared" ca="1" si="171"/>
        <v>1.8523984638680768E-2</v>
      </c>
      <c r="Q373" s="175">
        <f t="shared" ca="1" si="172"/>
        <v>0.12679008377493758</v>
      </c>
    </row>
    <row r="374" spans="1:91" x14ac:dyDescent="0.3">
      <c r="A374" s="266">
        <v>2009</v>
      </c>
      <c r="B374" s="19">
        <f t="shared" ca="1" si="158"/>
        <v>4802843925</v>
      </c>
      <c r="C374" s="178">
        <f t="shared" ca="1" si="159"/>
        <v>3529814017</v>
      </c>
      <c r="D374" s="19">
        <f t="shared" ca="1" si="160"/>
        <v>397319680</v>
      </c>
      <c r="E374" s="178">
        <f t="shared" ca="1" si="161"/>
        <v>100351565</v>
      </c>
      <c r="F374" s="19">
        <f t="shared" ca="1" si="162"/>
        <v>49271558</v>
      </c>
      <c r="G374" s="178">
        <f t="shared" ca="1" si="163"/>
        <v>136009204</v>
      </c>
      <c r="H374" s="19">
        <f t="shared" ca="1" si="164"/>
        <v>97870062</v>
      </c>
      <c r="I374" s="19">
        <f t="shared" ca="1" si="165"/>
        <v>503459374</v>
      </c>
      <c r="K374" s="175">
        <f t="shared" ca="1" si="166"/>
        <v>0.73494247827343251</v>
      </c>
      <c r="L374" s="175">
        <f t="shared" ca="1" si="167"/>
        <v>8.2725919518611052E-2</v>
      </c>
      <c r="M374" s="175">
        <f t="shared" ca="1" si="168"/>
        <v>2.0894196556678655E-2</v>
      </c>
      <c r="N374" s="175">
        <f t="shared" ca="1" si="169"/>
        <v>1.0258829720351572E-2</v>
      </c>
      <c r="O374" s="175">
        <f t="shared" ca="1" si="170"/>
        <v>2.8318472580805339E-2</v>
      </c>
      <c r="P374" s="175">
        <f t="shared" ca="1" si="171"/>
        <v>2.0377522886088788E-2</v>
      </c>
      <c r="Q374" s="175">
        <f t="shared" ca="1" si="172"/>
        <v>0.10482526225334295</v>
      </c>
    </row>
    <row r="375" spans="1:91" x14ac:dyDescent="0.3">
      <c r="A375" s="266">
        <v>2010</v>
      </c>
      <c r="B375" s="19">
        <f t="shared" ca="1" si="158"/>
        <v>4833977428</v>
      </c>
      <c r="C375" s="178">
        <f t="shared" ca="1" si="159"/>
        <v>3621068745</v>
      </c>
      <c r="D375" s="19">
        <f t="shared" ca="1" si="160"/>
        <v>451479570</v>
      </c>
      <c r="E375" s="178">
        <f t="shared" ca="1" si="161"/>
        <v>98964788</v>
      </c>
      <c r="F375" s="19">
        <f t="shared" ca="1" si="162"/>
        <v>44097823</v>
      </c>
      <c r="G375" s="178">
        <f t="shared" ca="1" si="163"/>
        <v>148907299</v>
      </c>
      <c r="H375" s="19">
        <f t="shared" ca="1" si="164"/>
        <v>102805186</v>
      </c>
      <c r="I375" s="19">
        <f t="shared" ca="1" si="165"/>
        <v>471967339</v>
      </c>
      <c r="K375" s="175">
        <f t="shared" ca="1" si="166"/>
        <v>0.74908681286461321</v>
      </c>
      <c r="L375" s="175">
        <f t="shared" ca="1" si="167"/>
        <v>9.3397120016506616E-2</v>
      </c>
      <c r="M375" s="175">
        <f t="shared" ca="1" si="168"/>
        <v>2.0472745161523333E-2</v>
      </c>
      <c r="N375" s="175">
        <f t="shared" ca="1" si="169"/>
        <v>9.1224718478350331E-3</v>
      </c>
      <c r="O375" s="175">
        <f t="shared" ca="1" si="170"/>
        <v>3.0804301678671389E-2</v>
      </c>
      <c r="P375" s="175">
        <f t="shared" ca="1" si="171"/>
        <v>2.1267204394567148E-2</v>
      </c>
      <c r="Q375" s="175">
        <f t="shared" ca="1" si="172"/>
        <v>9.7635403977314558E-2</v>
      </c>
    </row>
    <row r="376" spans="1:91" x14ac:dyDescent="0.3">
      <c r="A376" s="266">
        <v>2011</v>
      </c>
      <c r="B376" s="19">
        <f t="shared" ca="1" si="158"/>
        <v>5364723138</v>
      </c>
      <c r="C376" s="178">
        <f t="shared" ca="1" si="159"/>
        <v>3891427342</v>
      </c>
      <c r="D376" s="19">
        <f t="shared" ca="1" si="160"/>
        <v>490859043</v>
      </c>
      <c r="E376" s="178">
        <f t="shared" ca="1" si="161"/>
        <v>117221394</v>
      </c>
      <c r="F376" s="19">
        <f t="shared" ca="1" si="162"/>
        <v>42747855</v>
      </c>
      <c r="G376" s="178">
        <f t="shared" ca="1" si="163"/>
        <v>158078570</v>
      </c>
      <c r="H376" s="19">
        <f t="shared" ca="1" si="164"/>
        <v>151355320</v>
      </c>
      <c r="I376" s="19">
        <f t="shared" ca="1" si="165"/>
        <v>523135706</v>
      </c>
      <c r="K376" s="175">
        <f t="shared" ca="1" si="166"/>
        <v>0.72537337750681141</v>
      </c>
      <c r="L376" s="175">
        <f t="shared" ca="1" si="167"/>
        <v>9.1497553624546424E-2</v>
      </c>
      <c r="M376" s="175">
        <f t="shared" ca="1" si="168"/>
        <v>2.1850408862609229E-2</v>
      </c>
      <c r="N376" s="175">
        <f t="shared" ca="1" si="169"/>
        <v>7.968324534252974E-3</v>
      </c>
      <c r="O376" s="175">
        <f t="shared" ca="1" si="170"/>
        <v>2.946630533089031E-2</v>
      </c>
      <c r="P376" s="175">
        <f t="shared" ca="1" si="171"/>
        <v>2.8213071971581023E-2</v>
      </c>
      <c r="Q376" s="175">
        <f t="shared" ca="1" si="172"/>
        <v>9.7514017507160308E-2</v>
      </c>
    </row>
    <row r="377" spans="1:91" x14ac:dyDescent="0.3">
      <c r="A377" s="266">
        <v>2012</v>
      </c>
      <c r="B377" s="19">
        <f t="shared" ca="1" si="158"/>
        <v>5863068022</v>
      </c>
      <c r="C377" s="178">
        <f t="shared" ca="1" si="159"/>
        <v>4021239630</v>
      </c>
      <c r="D377" s="19">
        <f t="shared" ca="1" si="160"/>
        <v>642830706</v>
      </c>
      <c r="E377" s="178">
        <f t="shared" ca="1" si="161"/>
        <v>155897800</v>
      </c>
      <c r="F377" s="19">
        <f t="shared" ca="1" si="162"/>
        <v>63505564</v>
      </c>
      <c r="G377" s="178">
        <f t="shared" ca="1" si="163"/>
        <v>192735174</v>
      </c>
      <c r="H377" s="19">
        <f t="shared" ca="1" si="164"/>
        <v>179455660</v>
      </c>
      <c r="I377" s="19">
        <f t="shared" ca="1" si="165"/>
        <v>614790691</v>
      </c>
      <c r="K377" s="175">
        <f t="shared" ca="1" si="166"/>
        <v>0.6858592830427851</v>
      </c>
      <c r="L377" s="175">
        <f t="shared" ca="1" si="167"/>
        <v>0.10964066996799376</v>
      </c>
      <c r="M377" s="175">
        <f t="shared" ca="1" si="168"/>
        <v>2.6589798961060049E-2</v>
      </c>
      <c r="N377" s="175">
        <f t="shared" ca="1" si="169"/>
        <v>1.0831456118487449E-2</v>
      </c>
      <c r="O377" s="175">
        <f t="shared" ca="1" si="170"/>
        <v>3.2872750798182707E-2</v>
      </c>
      <c r="P377" s="175">
        <f t="shared" ca="1" si="171"/>
        <v>3.0607807947413919E-2</v>
      </c>
      <c r="Q377" s="175">
        <f t="shared" ca="1" si="172"/>
        <v>0.10485818835686707</v>
      </c>
    </row>
    <row r="378" spans="1:91" x14ac:dyDescent="0.3">
      <c r="A378" s="266">
        <v>2013</v>
      </c>
      <c r="B378" s="19">
        <f t="shared" ca="1" si="158"/>
        <v>6017289355</v>
      </c>
      <c r="C378" s="178">
        <f t="shared" ca="1" si="159"/>
        <v>4218512994</v>
      </c>
      <c r="D378" s="19">
        <f t="shared" ca="1" si="160"/>
        <v>614608542</v>
      </c>
      <c r="E378" s="178">
        <f t="shared" ca="1" si="161"/>
        <v>170796438</v>
      </c>
      <c r="F378" s="19">
        <f t="shared" ca="1" si="162"/>
        <v>28315984</v>
      </c>
      <c r="G378" s="178">
        <f t="shared" ca="1" si="163"/>
        <v>190417376</v>
      </c>
      <c r="H378" s="19">
        <f t="shared" ca="1" si="164"/>
        <v>184470816</v>
      </c>
      <c r="I378" s="19">
        <f t="shared" ca="1" si="165"/>
        <v>621072206</v>
      </c>
      <c r="K378" s="175">
        <f t="shared" ca="1" si="166"/>
        <v>0.70106533774957547</v>
      </c>
      <c r="L378" s="175">
        <f t="shared" ca="1" si="167"/>
        <v>0.10214043329814243</v>
      </c>
      <c r="M378" s="175">
        <f t="shared" ca="1" si="168"/>
        <v>2.838428201197913E-2</v>
      </c>
      <c r="N378" s="175">
        <f t="shared" ca="1" si="169"/>
        <v>4.7057707099412037E-3</v>
      </c>
      <c r="O378" s="175">
        <f t="shared" ca="1" si="170"/>
        <v>3.1645042271695775E-2</v>
      </c>
      <c r="P378" s="175">
        <f t="shared" ca="1" si="171"/>
        <v>3.0656796626659814E-2</v>
      </c>
      <c r="Q378" s="175">
        <f t="shared" ca="1" si="172"/>
        <v>0.10321461531244579</v>
      </c>
    </row>
    <row r="379" spans="1:91" x14ac:dyDescent="0.3">
      <c r="A379" s="266">
        <v>214168</v>
      </c>
      <c r="B379" s="19">
        <f t="shared" ca="1" si="158"/>
        <v>6411543250</v>
      </c>
      <c r="C379" s="178">
        <f t="shared" ca="1" si="159"/>
        <v>4432441503</v>
      </c>
      <c r="D379" s="19">
        <f t="shared" ca="1" si="160"/>
        <v>659934665</v>
      </c>
      <c r="E379" s="178">
        <f t="shared" ca="1" si="161"/>
        <v>186861850</v>
      </c>
      <c r="F379" s="19">
        <f t="shared" ca="1" si="162"/>
        <v>40764115</v>
      </c>
      <c r="G379" s="178">
        <f t="shared" ca="1" si="163"/>
        <v>210562089</v>
      </c>
      <c r="H379" s="19">
        <f t="shared" ca="1" si="164"/>
        <v>214168886</v>
      </c>
      <c r="I379" s="19">
        <f t="shared" ca="1" si="165"/>
        <v>666810142</v>
      </c>
      <c r="K379" s="175">
        <f t="shared" ca="1" si="166"/>
        <v>0.69132209363166974</v>
      </c>
      <c r="L379" s="175">
        <f t="shared" ca="1" si="167"/>
        <v>0.10292914502292408</v>
      </c>
      <c r="M379" s="175">
        <f t="shared" ca="1" si="168"/>
        <v>2.9144597909403481E-2</v>
      </c>
      <c r="N379" s="175">
        <f t="shared" ca="1" si="169"/>
        <v>6.357925605508471E-3</v>
      </c>
      <c r="O379" s="175">
        <f t="shared" ca="1" si="170"/>
        <v>3.2841093133076815E-2</v>
      </c>
      <c r="P379" s="175">
        <f t="shared" ca="1" si="171"/>
        <v>3.3403640535373445E-2</v>
      </c>
      <c r="Q379" s="175">
        <f t="shared" ca="1" si="172"/>
        <v>0.10400150416204398</v>
      </c>
    </row>
    <row r="380" spans="1:91" x14ac:dyDescent="0.3">
      <c r="A380" s="266">
        <v>2015</v>
      </c>
      <c r="B380" s="19">
        <f t="shared" ca="1" si="158"/>
        <v>6006656784</v>
      </c>
      <c r="C380" s="178">
        <f t="shared" ca="1" si="159"/>
        <v>4363631338</v>
      </c>
      <c r="D380" s="19">
        <f t="shared" ca="1" si="160"/>
        <v>515556421</v>
      </c>
      <c r="E380" s="178">
        <f t="shared" ca="1" si="161"/>
        <v>178512811</v>
      </c>
      <c r="F380" s="19">
        <f t="shared" ca="1" si="162"/>
        <v>32688344</v>
      </c>
      <c r="G380" s="178">
        <f t="shared" ca="1" si="163"/>
        <v>198230643</v>
      </c>
      <c r="H380" s="19">
        <f t="shared" ca="1" si="164"/>
        <v>202427196</v>
      </c>
      <c r="I380" s="19">
        <f t="shared" ca="1" si="165"/>
        <v>515610035</v>
      </c>
      <c r="K380" s="175">
        <f t="shared" ca="1" si="166"/>
        <v>0.72646590190127969</v>
      </c>
      <c r="L380" s="175">
        <f t="shared" ca="1" si="167"/>
        <v>8.583084393523091E-2</v>
      </c>
      <c r="M380" s="175">
        <f t="shared" ca="1" si="168"/>
        <v>2.9719162825401744E-2</v>
      </c>
      <c r="N380" s="175">
        <f t="shared" ca="1" si="169"/>
        <v>5.4420196084904188E-3</v>
      </c>
      <c r="O380" s="175">
        <f t="shared" ca="1" si="170"/>
        <v>3.3001826161939071E-2</v>
      </c>
      <c r="P380" s="175">
        <f t="shared" ca="1" si="171"/>
        <v>3.3700476534502123E-2</v>
      </c>
      <c r="Q380" s="175">
        <f t="shared" ca="1" si="172"/>
        <v>8.5839769699083912E-2</v>
      </c>
    </row>
    <row r="381" spans="1:91" x14ac:dyDescent="0.3">
      <c r="A381" s="266">
        <v>2016</v>
      </c>
      <c r="B381" s="19">
        <f t="shared" ca="1" si="158"/>
        <v>5778293947</v>
      </c>
      <c r="C381" s="178">
        <f t="shared" ca="1" si="159"/>
        <v>4275466852</v>
      </c>
      <c r="D381" s="19">
        <f t="shared" ca="1" si="160"/>
        <v>434131161</v>
      </c>
      <c r="E381" s="178">
        <f t="shared" ca="1" si="161"/>
        <v>176583483</v>
      </c>
      <c r="F381" s="19">
        <f t="shared" ca="1" si="162"/>
        <v>29538531</v>
      </c>
      <c r="G381" s="178">
        <f t="shared" ca="1" si="163"/>
        <v>200634625</v>
      </c>
      <c r="H381" s="19">
        <f t="shared" ca="1" si="164"/>
        <v>200325282</v>
      </c>
      <c r="I381" s="19">
        <f t="shared" ca="1" si="165"/>
        <v>451184022</v>
      </c>
      <c r="K381" s="175">
        <f t="shared" ca="1" si="166"/>
        <v>0.73991854537267976</v>
      </c>
      <c r="L381" s="175">
        <f t="shared" ca="1" si="167"/>
        <v>7.5131373547618521E-2</v>
      </c>
      <c r="M381" s="175">
        <f t="shared" ca="1" si="168"/>
        <v>3.0559795783957892E-2</v>
      </c>
      <c r="N381" s="175">
        <f t="shared" ca="1" si="169"/>
        <v>5.1119813687110788E-3</v>
      </c>
      <c r="O381" s="175">
        <f t="shared" ca="1" si="170"/>
        <v>3.4722121588183719E-2</v>
      </c>
      <c r="P381" s="175">
        <f t="shared" ca="1" si="171"/>
        <v>3.4668586236255038E-2</v>
      </c>
      <c r="Q381" s="175">
        <f t="shared" ca="1" si="172"/>
        <v>7.8082566608479259E-2</v>
      </c>
    </row>
    <row r="382" spans="1:91" x14ac:dyDescent="0.3">
      <c r="A382" s="268">
        <v>2017</v>
      </c>
      <c r="B382" s="19">
        <f t="shared" ca="1" si="158"/>
        <v>5815651079</v>
      </c>
      <c r="C382" s="178">
        <f t="shared" ca="1" si="159"/>
        <v>4220332440</v>
      </c>
      <c r="D382" s="19">
        <f t="shared" ca="1" si="160"/>
        <v>485553181</v>
      </c>
      <c r="E382" s="178">
        <f t="shared" ca="1" si="161"/>
        <v>222337549</v>
      </c>
      <c r="F382" s="320">
        <f t="shared" ca="1" si="162"/>
        <v>31346943</v>
      </c>
      <c r="G382" s="178">
        <f t="shared" ca="1" si="163"/>
        <v>218032448</v>
      </c>
      <c r="H382" s="19">
        <f t="shared" ca="1" si="164"/>
        <v>234833572</v>
      </c>
      <c r="I382" s="19">
        <f t="shared" ca="1" si="165"/>
        <v>403214948</v>
      </c>
      <c r="K382" s="175">
        <f t="shared" ca="1" si="166"/>
        <v>0.72568529003388649</v>
      </c>
      <c r="L382" s="175">
        <f t="shared" ca="1" si="167"/>
        <v>8.3490769030711995E-2</v>
      </c>
      <c r="M382" s="175">
        <f t="shared" ca="1" si="168"/>
        <v>3.8230895557480882E-2</v>
      </c>
      <c r="N382" s="175">
        <f t="shared" ca="1" si="169"/>
        <v>5.3901003643757285E-3</v>
      </c>
      <c r="O382" s="175">
        <f t="shared" ca="1" si="170"/>
        <v>3.7490634331090344E-2</v>
      </c>
      <c r="P382" s="175">
        <f t="shared" ca="1" si="171"/>
        <v>4.0379584127385369E-2</v>
      </c>
      <c r="Q382" s="175">
        <f t="shared" ca="1" si="172"/>
        <v>6.9332726898968758E-2</v>
      </c>
    </row>
    <row r="383" spans="1:91" x14ac:dyDescent="0.3">
      <c r="A383" s="268">
        <v>2018</v>
      </c>
      <c r="B383" s="19">
        <f t="shared" ca="1" si="158"/>
        <v>6048768442</v>
      </c>
      <c r="C383" s="178">
        <f t="shared" ca="1" si="159"/>
        <v>4265398959</v>
      </c>
      <c r="D383" s="19">
        <f t="shared" ca="1" si="160"/>
        <v>549908868</v>
      </c>
      <c r="E383" s="178">
        <f t="shared" ca="1" si="161"/>
        <v>240153421</v>
      </c>
      <c r="F383" s="320">
        <f t="shared" ca="1" si="162"/>
        <v>39445398</v>
      </c>
      <c r="G383" s="178">
        <f t="shared" ca="1" si="163"/>
        <v>255107829</v>
      </c>
      <c r="H383" s="19">
        <f t="shared" ca="1" si="164"/>
        <v>277980050</v>
      </c>
      <c r="I383" s="19">
        <f t="shared" ca="1" si="165"/>
        <v>420773917</v>
      </c>
      <c r="K383" s="175">
        <f t="shared" ca="1" si="166"/>
        <v>0.70516816768566259</v>
      </c>
      <c r="L383" s="175">
        <f t="shared" ca="1" si="167"/>
        <v>9.0912534224599106E-2</v>
      </c>
      <c r="M383" s="175">
        <f t="shared" ca="1" si="168"/>
        <v>3.9702862376493002E-2</v>
      </c>
      <c r="N383" s="175">
        <f t="shared" ca="1" si="169"/>
        <v>6.5212279785928692E-3</v>
      </c>
      <c r="O383" s="175">
        <f t="shared" ca="1" si="170"/>
        <v>4.2175168622531969E-2</v>
      </c>
      <c r="P383" s="175">
        <f t="shared" ca="1" si="171"/>
        <v>4.5956470753588156E-2</v>
      </c>
      <c r="Q383" s="175">
        <f t="shared" ca="1" si="172"/>
        <v>6.9563568358532307E-2</v>
      </c>
    </row>
    <row r="384" spans="1:91" x14ac:dyDescent="0.3">
      <c r="A384" s="268">
        <v>2019</v>
      </c>
      <c r="B384" s="19">
        <f t="shared" ca="1" si="158"/>
        <v>6340622737</v>
      </c>
      <c r="C384" s="178">
        <f t="shared" ca="1" si="159"/>
        <v>4431221633</v>
      </c>
      <c r="D384" s="19">
        <f t="shared" ca="1" si="160"/>
        <v>558527093</v>
      </c>
      <c r="E384" s="178">
        <f t="shared" ca="1" si="161"/>
        <v>272779077</v>
      </c>
      <c r="F384" s="320">
        <f t="shared" ca="1" si="162"/>
        <v>34945999</v>
      </c>
      <c r="G384" s="178">
        <f t="shared" ca="1" si="163"/>
        <v>261851487</v>
      </c>
      <c r="H384" s="19">
        <f t="shared" ca="1" si="164"/>
        <v>295108456</v>
      </c>
      <c r="I384" s="19">
        <f t="shared" ca="1" si="165"/>
        <v>486188992</v>
      </c>
      <c r="J384" s="176"/>
      <c r="K384" s="177">
        <f t="shared" ca="1" si="166"/>
        <v>0.69886221224645617</v>
      </c>
      <c r="L384" s="177">
        <f t="shared" ca="1" si="167"/>
        <v>8.8087103769914771E-2</v>
      </c>
      <c r="M384" s="177">
        <f t="shared" ca="1" si="168"/>
        <v>4.3020865349428214E-2</v>
      </c>
      <c r="N384" s="177">
        <f t="shared" ca="1" si="169"/>
        <v>5.5114458704626128E-3</v>
      </c>
      <c r="O384" s="177">
        <f t="shared" ca="1" si="170"/>
        <v>4.1297439993077452E-2</v>
      </c>
      <c r="P384" s="177">
        <f t="shared" ca="1" si="171"/>
        <v>4.6542503511197313E-2</v>
      </c>
      <c r="Q384" s="177">
        <f t="shared" ca="1" si="172"/>
        <v>7.6678429259463443E-2</v>
      </c>
    </row>
    <row r="385" spans="1:17" x14ac:dyDescent="0.3">
      <c r="A385" s="269">
        <v>2020</v>
      </c>
      <c r="B385" s="19">
        <f t="shared" ca="1" si="158"/>
        <v>6425064749</v>
      </c>
      <c r="C385" s="178">
        <f t="shared" ca="1" si="159"/>
        <v>4397284615</v>
      </c>
      <c r="D385" s="19">
        <f t="shared" ca="1" si="160"/>
        <v>543770851</v>
      </c>
      <c r="E385" s="178">
        <f t="shared" ca="1" si="161"/>
        <v>310579862</v>
      </c>
      <c r="F385" s="320">
        <f t="shared" ca="1" si="162"/>
        <v>35942521</v>
      </c>
      <c r="G385" s="178">
        <f t="shared" ca="1" si="163"/>
        <v>266417476</v>
      </c>
      <c r="H385" s="19">
        <f t="shared" ca="1" si="164"/>
        <v>331289589</v>
      </c>
      <c r="I385" s="19">
        <f t="shared" ca="1" si="165"/>
        <v>539779835</v>
      </c>
      <c r="J385" s="176"/>
      <c r="K385" s="177">
        <f t="shared" ca="1" si="166"/>
        <v>0.68439537760057523</v>
      </c>
      <c r="L385" s="177">
        <f t="shared" ca="1" si="167"/>
        <v>8.4632742585922224E-2</v>
      </c>
      <c r="M385" s="177">
        <f t="shared" ca="1" si="168"/>
        <v>4.8338790990135751E-2</v>
      </c>
      <c r="N385" s="177">
        <f t="shared" ca="1" si="169"/>
        <v>5.5941103170351883E-3</v>
      </c>
      <c r="O385" s="177">
        <f t="shared" ca="1" si="170"/>
        <v>4.1465337145663056E-2</v>
      </c>
      <c r="P385" s="177">
        <f t="shared" ca="1" si="171"/>
        <v>5.156206232031546E-2</v>
      </c>
      <c r="Q385" s="177">
        <f t="shared" ca="1" si="172"/>
        <v>8.4011579040353113E-2</v>
      </c>
    </row>
    <row r="386" spans="1:17" x14ac:dyDescent="0.3">
      <c r="A386" s="269">
        <v>2021</v>
      </c>
      <c r="B386" s="19">
        <f t="shared" ca="1" si="158"/>
        <v>7694821723</v>
      </c>
      <c r="C386" s="178">
        <f t="shared" ca="1" si="159"/>
        <v>5228199915</v>
      </c>
      <c r="D386" s="19">
        <f t="shared" ca="1" si="160"/>
        <v>653476534</v>
      </c>
      <c r="E386" s="178">
        <f t="shared" ca="1" si="161"/>
        <v>417537368</v>
      </c>
      <c r="F386" s="320">
        <f t="shared" ca="1" si="162"/>
        <v>44496496</v>
      </c>
      <c r="G386" s="178">
        <f t="shared" ca="1" si="163"/>
        <v>310018744</v>
      </c>
      <c r="H386" s="19">
        <f t="shared" ca="1" si="164"/>
        <v>409128224</v>
      </c>
      <c r="I386" s="19">
        <f t="shared" ca="1" si="165"/>
        <v>631964442</v>
      </c>
      <c r="J386" s="176"/>
      <c r="K386" s="177">
        <f t="shared" ref="K386:Q388" ca="1" si="173">SUM(C386/$B386)</f>
        <v>0.67944393037369399</v>
      </c>
      <c r="L386" s="177">
        <f t="shared" ca="1" si="173"/>
        <v>8.4924194156018401E-2</v>
      </c>
      <c r="M386" s="177">
        <f t="shared" ca="1" si="173"/>
        <v>5.4262123676234258E-2</v>
      </c>
      <c r="N386" s="177">
        <f t="shared" ca="1" si="173"/>
        <v>5.7826545697607194E-3</v>
      </c>
      <c r="O386" s="177">
        <f t="shared" ca="1" si="173"/>
        <v>4.0289269220279242E-2</v>
      </c>
      <c r="P386" s="177">
        <f t="shared" ca="1" si="173"/>
        <v>5.3169292119803931E-2</v>
      </c>
      <c r="Q386" s="177">
        <f t="shared" ca="1" si="173"/>
        <v>8.2128535884209458E-2</v>
      </c>
    </row>
    <row r="387" spans="1:17" x14ac:dyDescent="0.3">
      <c r="A387" s="295">
        <v>2022</v>
      </c>
      <c r="B387" s="19">
        <f t="shared" ca="1" si="158"/>
        <v>8203716329.5</v>
      </c>
      <c r="C387" s="178">
        <f t="shared" ca="1" si="159"/>
        <v>5512673748</v>
      </c>
      <c r="D387" s="19">
        <f t="shared" ca="1" si="160"/>
        <v>784491922</v>
      </c>
      <c r="E387" s="178">
        <f t="shared" ca="1" si="161"/>
        <v>363747886</v>
      </c>
      <c r="F387" s="320">
        <f t="shared" ca="1" si="162"/>
        <v>50875503</v>
      </c>
      <c r="G387" s="178">
        <f t="shared" ca="1" si="163"/>
        <v>335983094</v>
      </c>
      <c r="H387" s="19">
        <f t="shared" ca="1" si="164"/>
        <v>454768282</v>
      </c>
      <c r="I387" s="19">
        <f t="shared" ca="1" si="165"/>
        <v>701175893.5</v>
      </c>
      <c r="J387" s="176"/>
      <c r="K387" s="175">
        <f t="shared" ca="1" si="173"/>
        <v>0.6719727409609233</v>
      </c>
      <c r="L387" s="175">
        <f t="shared" ca="1" si="173"/>
        <v>9.5626407653689946E-2</v>
      </c>
      <c r="M387" s="175">
        <f t="shared" ca="1" si="173"/>
        <v>4.4339403191208306E-2</v>
      </c>
      <c r="N387" s="175">
        <f t="shared" ca="1" si="173"/>
        <v>6.2015190380309941E-3</v>
      </c>
      <c r="O387" s="175">
        <f t="shared" ca="1" si="173"/>
        <v>4.0954986801753239E-2</v>
      </c>
      <c r="P387" s="175">
        <f t="shared" ca="1" si="173"/>
        <v>5.5434423099770591E-2</v>
      </c>
      <c r="Q387" s="175">
        <f t="shared" ca="1" si="173"/>
        <v>8.5470519132727643E-2</v>
      </c>
    </row>
    <row r="388" spans="1:17" x14ac:dyDescent="0.3">
      <c r="A388" s="295">
        <v>2023</v>
      </c>
      <c r="B388" s="19">
        <f t="shared" ca="1" si="158"/>
        <v>8458541337</v>
      </c>
      <c r="C388" s="19">
        <f t="shared" ca="1" si="159"/>
        <v>5674384748</v>
      </c>
      <c r="D388" s="19">
        <f t="shared" ca="1" si="160"/>
        <v>830708080</v>
      </c>
      <c r="E388" s="178">
        <f t="shared" ca="1" si="161"/>
        <v>382635951</v>
      </c>
      <c r="F388" s="320">
        <f t="shared" ca="1" si="162"/>
        <v>50299339</v>
      </c>
      <c r="G388" s="19">
        <f t="shared" ca="1" si="163"/>
        <v>369200950</v>
      </c>
      <c r="H388" s="19">
        <f t="shared" ca="1" si="164"/>
        <v>466208922</v>
      </c>
      <c r="I388" s="19">
        <f t="shared" ca="1" si="165"/>
        <v>685103347</v>
      </c>
      <c r="J388" s="176"/>
      <c r="K388" s="175">
        <f t="shared" ca="1" si="173"/>
        <v>0.67084672426659087</v>
      </c>
      <c r="L388" s="175">
        <f t="shared" ca="1" si="173"/>
        <v>9.8209377586919513E-2</v>
      </c>
      <c r="M388" s="175">
        <f t="shared" ca="1" si="173"/>
        <v>4.5236635461748526E-2</v>
      </c>
      <c r="N388" s="175">
        <f t="shared" ca="1" si="173"/>
        <v>5.9465736462121161E-3</v>
      </c>
      <c r="O388" s="175">
        <f t="shared" ca="1" si="173"/>
        <v>4.3648300018942141E-2</v>
      </c>
      <c r="P388" s="175">
        <f t="shared" ca="1" si="173"/>
        <v>5.5116940785129603E-2</v>
      </c>
      <c r="Q388" s="175">
        <f t="shared" ca="1" si="173"/>
        <v>8.0995448234457215E-2</v>
      </c>
    </row>
    <row r="389" spans="1:17" ht="13.5" thickBot="1" x14ac:dyDescent="0.35">
      <c r="A389" s="270">
        <v>2024</v>
      </c>
      <c r="B389" s="310">
        <f ca="1">SUM(OFFSET($B$2,(12*(ROW(B28)-1)),0,12,1))</f>
        <v>8587048241</v>
      </c>
      <c r="C389" s="310">
        <f t="shared" ca="1" si="159"/>
        <v>5756406285</v>
      </c>
      <c r="D389" s="310">
        <f t="shared" ca="1" si="160"/>
        <v>837542181</v>
      </c>
      <c r="E389" s="297">
        <f t="shared" ca="1" si="161"/>
        <v>393073714</v>
      </c>
      <c r="F389" s="321">
        <f t="shared" ca="1" si="162"/>
        <v>51504093</v>
      </c>
      <c r="G389" s="310">
        <f t="shared" ca="1" si="163"/>
        <v>356854390</v>
      </c>
      <c r="H389" s="310">
        <f t="shared" ca="1" si="164"/>
        <v>483461594</v>
      </c>
      <c r="I389" s="310">
        <f t="shared" ca="1" si="165"/>
        <v>708205984</v>
      </c>
      <c r="K389" s="296">
        <f t="shared" ref="K389" ca="1" si="174">SUM(C389/$B389)</f>
        <v>0.67035914128387852</v>
      </c>
      <c r="L389" s="296">
        <f t="shared" ref="L389" ca="1" si="175">SUM(D389/$B389)</f>
        <v>9.753551598802529E-2</v>
      </c>
      <c r="M389" s="296">
        <f t="shared" ref="M389" ca="1" si="176">SUM(E389/$B389)</f>
        <v>4.5775184087497894E-2</v>
      </c>
      <c r="N389" s="296">
        <f t="shared" ref="N389" ca="1" si="177">SUM(F389/$B389)</f>
        <v>5.997880942846796E-3</v>
      </c>
      <c r="O389" s="296">
        <f t="shared" ref="O389" ca="1" si="178">SUM(G389/$B389)</f>
        <v>4.1557282547470903E-2</v>
      </c>
      <c r="P389" s="296">
        <f t="shared" ref="P389" ca="1" si="179">SUM(H389/$B389)</f>
        <v>5.6301255149778774E-2</v>
      </c>
      <c r="Q389" s="296">
        <f t="shared" ref="Q389" ca="1" si="180">SUM(I389/$B389)</f>
        <v>8.2473740000501769E-2</v>
      </c>
    </row>
    <row r="390" spans="1:17" ht="13.5" thickBot="1" x14ac:dyDescent="0.35">
      <c r="F390" s="227"/>
    </row>
    <row r="391" spans="1:17" ht="39.5" thickBot="1" x14ac:dyDescent="0.3">
      <c r="A391" s="271"/>
      <c r="B391" s="258" t="s">
        <v>1</v>
      </c>
      <c r="C391" s="272" t="s">
        <v>2</v>
      </c>
      <c r="D391" s="258" t="s">
        <v>3</v>
      </c>
      <c r="E391" s="272" t="s">
        <v>4</v>
      </c>
      <c r="F391" s="258" t="s">
        <v>5</v>
      </c>
      <c r="G391" s="272" t="s">
        <v>6</v>
      </c>
      <c r="H391" s="258" t="s">
        <v>7</v>
      </c>
      <c r="I391" s="273" t="s">
        <v>8</v>
      </c>
      <c r="K391" s="174"/>
      <c r="L391" s="174"/>
      <c r="M391" s="174"/>
      <c r="N391" s="174"/>
      <c r="O391" s="174"/>
    </row>
    <row r="392" spans="1:17" x14ac:dyDescent="0.25">
      <c r="A392" s="274" t="s">
        <v>10</v>
      </c>
      <c r="B392" s="317">
        <f>SUM(B302:B313)</f>
        <v>8203716329.5</v>
      </c>
      <c r="C392" s="317">
        <f>SUM(C302:C313)</f>
        <v>5512673748</v>
      </c>
      <c r="D392" s="317">
        <f t="shared" ref="D392:I392" si="181">SUM(D302:D313)</f>
        <v>784491922</v>
      </c>
      <c r="E392" s="317">
        <f t="shared" si="181"/>
        <v>363747886</v>
      </c>
      <c r="F392" s="317">
        <f t="shared" si="181"/>
        <v>50875503</v>
      </c>
      <c r="G392" s="317">
        <f t="shared" si="181"/>
        <v>335983094</v>
      </c>
      <c r="H392" s="317">
        <f t="shared" si="181"/>
        <v>454768282</v>
      </c>
      <c r="I392" s="317">
        <f t="shared" si="181"/>
        <v>701175893.5</v>
      </c>
      <c r="K392" s="227"/>
      <c r="M392" s="174"/>
      <c r="N392" s="174"/>
      <c r="O392" s="174"/>
    </row>
    <row r="393" spans="1:17" x14ac:dyDescent="0.3">
      <c r="A393" s="316" t="s">
        <v>11</v>
      </c>
      <c r="B393" s="275">
        <f>SUM(B314:B325)</f>
        <v>8458541337</v>
      </c>
      <c r="C393" s="275">
        <f>SUM(C314:C325)</f>
        <v>5674384748</v>
      </c>
      <c r="D393" s="275">
        <f t="shared" ref="D393:I393" si="182">SUM(D314:D325)</f>
        <v>830708080</v>
      </c>
      <c r="E393" s="275">
        <f t="shared" si="182"/>
        <v>382635951</v>
      </c>
      <c r="F393" s="275">
        <f t="shared" si="182"/>
        <v>50299339</v>
      </c>
      <c r="G393" s="275">
        <f t="shared" si="182"/>
        <v>369200950</v>
      </c>
      <c r="H393" s="275">
        <f t="shared" si="182"/>
        <v>466208922</v>
      </c>
      <c r="I393" s="275">
        <f t="shared" si="182"/>
        <v>685103347</v>
      </c>
      <c r="J393" s="217"/>
      <c r="K393" s="174"/>
      <c r="L393" s="174"/>
      <c r="M393" s="174"/>
      <c r="N393" s="174"/>
      <c r="O393" s="174"/>
    </row>
    <row r="394" spans="1:17" x14ac:dyDescent="0.25">
      <c r="A394" s="274" t="s">
        <v>12</v>
      </c>
      <c r="B394" s="275">
        <f>SUM(B326:B337)</f>
        <v>8587048241</v>
      </c>
      <c r="C394" s="275">
        <f>SUM(C326:C337)</f>
        <v>5756406285</v>
      </c>
      <c r="D394" s="275">
        <f t="shared" ref="D394:I394" si="183">SUM(D326:D337)</f>
        <v>837542181</v>
      </c>
      <c r="E394" s="275">
        <f t="shared" si="183"/>
        <v>393073714</v>
      </c>
      <c r="F394" s="275">
        <f t="shared" si="183"/>
        <v>51504093</v>
      </c>
      <c r="G394" s="275">
        <f t="shared" si="183"/>
        <v>356854390</v>
      </c>
      <c r="H394" s="275">
        <f t="shared" si="183"/>
        <v>483461594</v>
      </c>
      <c r="I394" s="275">
        <f t="shared" si="183"/>
        <v>708205984</v>
      </c>
      <c r="K394" s="217"/>
      <c r="L394" s="217"/>
      <c r="M394" s="217"/>
      <c r="N394" s="217"/>
      <c r="O394" s="217"/>
      <c r="P394" s="217"/>
      <c r="Q394" s="217"/>
    </row>
    <row r="395" spans="1:17" ht="39" x14ac:dyDescent="0.25">
      <c r="A395" s="315" t="s">
        <v>13</v>
      </c>
      <c r="B395" s="318">
        <f>SUM(B393-B392)/B392</f>
        <v>3.1062142724714505E-2</v>
      </c>
      <c r="C395" s="318">
        <f t="shared" ref="C395:I395" si="184">SUM(C393-C392)/C392</f>
        <v>2.9334404209693854E-2</v>
      </c>
      <c r="D395" s="318">
        <f t="shared" si="184"/>
        <v>5.8912216561995398E-2</v>
      </c>
      <c r="E395" s="318">
        <f t="shared" si="184"/>
        <v>5.1926253669004142E-2</v>
      </c>
      <c r="F395" s="318">
        <f t="shared" si="184"/>
        <v>-1.1324978939274566E-2</v>
      </c>
      <c r="G395" s="318">
        <f t="shared" si="184"/>
        <v>9.8867641239115442E-2</v>
      </c>
      <c r="H395" s="318">
        <f t="shared" si="184"/>
        <v>2.5157075488391252E-2</v>
      </c>
      <c r="I395" s="318">
        <f t="shared" si="184"/>
        <v>-2.2922274780115496E-2</v>
      </c>
      <c r="P395" s="182"/>
      <c r="Q395" s="182"/>
    </row>
    <row r="396" spans="1:17" ht="39" x14ac:dyDescent="0.25">
      <c r="A396" s="276" t="s">
        <v>14</v>
      </c>
      <c r="B396" s="277">
        <f t="shared" ref="B396:I396" si="185">(B394-B393)/B393</f>
        <v>1.51925608541836E-2</v>
      </c>
      <c r="C396" s="278">
        <f t="shared" si="185"/>
        <v>1.4454701371617321E-2</v>
      </c>
      <c r="D396" s="277">
        <f t="shared" si="185"/>
        <v>8.2268382414192962E-3</v>
      </c>
      <c r="E396" s="278">
        <f t="shared" si="185"/>
        <v>2.7278573727119542E-2</v>
      </c>
      <c r="F396" s="277">
        <f t="shared" si="185"/>
        <v>2.3951686522162847E-2</v>
      </c>
      <c r="G396" s="278">
        <f t="shared" si="185"/>
        <v>-3.3441300733381106E-2</v>
      </c>
      <c r="H396" s="277">
        <f t="shared" si="185"/>
        <v>3.7006310231016984E-2</v>
      </c>
      <c r="I396" s="284">
        <f t="shared" si="185"/>
        <v>3.3721389774497776E-2</v>
      </c>
    </row>
    <row r="397" spans="1:17" ht="39.5" thickBot="1" x14ac:dyDescent="0.35">
      <c r="A397" s="279" t="s">
        <v>15</v>
      </c>
      <c r="B397" s="280">
        <f t="shared" ref="B397:I397" si="186">SUM((B394-B392)/B392)</f>
        <v>4.6726617072504667E-2</v>
      </c>
      <c r="C397" s="281">
        <f t="shared" si="186"/>
        <v>4.4213125634076617E-2</v>
      </c>
      <c r="D397" s="280">
        <f t="shared" si="186"/>
        <v>6.7623716079513688E-2</v>
      </c>
      <c r="E397" s="281">
        <f t="shared" si="186"/>
        <v>8.0621301535206719E-2</v>
      </c>
      <c r="F397" s="280">
        <f t="shared" si="186"/>
        <v>1.2355455237464679E-2</v>
      </c>
      <c r="G397" s="281">
        <f t="shared" si="186"/>
        <v>6.2120077982257049E-2</v>
      </c>
      <c r="H397" s="280">
        <f t="shared" si="186"/>
        <v>6.3094356259436754E-2</v>
      </c>
      <c r="I397" s="280">
        <f t="shared" si="186"/>
        <v>1.0026144032003862E-2</v>
      </c>
      <c r="K397" s="286"/>
    </row>
    <row r="398" spans="1:17" ht="13.5" thickBot="1" x14ac:dyDescent="0.35">
      <c r="A398" s="282"/>
      <c r="B398" s="283"/>
      <c r="C398" s="283"/>
      <c r="D398" s="283"/>
      <c r="E398" s="283"/>
      <c r="F398" s="283"/>
      <c r="G398" s="283"/>
      <c r="H398" s="283"/>
      <c r="I398" s="283"/>
    </row>
    <row r="399" spans="1:17" ht="39.5" thickBot="1" x14ac:dyDescent="0.3">
      <c r="A399" s="271"/>
      <c r="B399" s="258" t="s">
        <v>1</v>
      </c>
      <c r="C399" s="272" t="s">
        <v>2</v>
      </c>
      <c r="D399" s="258" t="s">
        <v>3</v>
      </c>
      <c r="E399" s="272" t="s">
        <v>4</v>
      </c>
      <c r="F399" s="258" t="s">
        <v>5</v>
      </c>
      <c r="G399" s="272" t="s">
        <v>6</v>
      </c>
      <c r="H399" s="258" t="s">
        <v>7</v>
      </c>
      <c r="I399" s="273" t="s">
        <v>8</v>
      </c>
    </row>
    <row r="400" spans="1:17" ht="26" x14ac:dyDescent="0.25">
      <c r="A400" s="276" t="s">
        <v>16</v>
      </c>
      <c r="B400" s="275">
        <f>B313</f>
        <v>799615630</v>
      </c>
      <c r="C400" s="275">
        <f>C313</f>
        <v>554328609</v>
      </c>
      <c r="D400" s="275">
        <f t="shared" ref="D400:I400" si="187">D313</f>
        <v>73034678</v>
      </c>
      <c r="E400" s="275">
        <f t="shared" si="187"/>
        <v>34926879</v>
      </c>
      <c r="F400" s="275">
        <f t="shared" si="187"/>
        <v>4232171</v>
      </c>
      <c r="G400" s="275">
        <f t="shared" si="187"/>
        <v>31730600</v>
      </c>
      <c r="H400" s="275">
        <f t="shared" si="187"/>
        <v>43508305</v>
      </c>
      <c r="I400" s="275">
        <f t="shared" si="187"/>
        <v>57854388</v>
      </c>
    </row>
    <row r="401" spans="1:9" ht="26" x14ac:dyDescent="0.25">
      <c r="A401" s="276" t="s">
        <v>17</v>
      </c>
      <c r="B401" s="275">
        <f>B325</f>
        <v>796821297</v>
      </c>
      <c r="C401" s="275">
        <f>C325</f>
        <v>547183588</v>
      </c>
      <c r="D401" s="275">
        <f t="shared" ref="D401:I401" si="188">D325</f>
        <v>76356752</v>
      </c>
      <c r="E401" s="275">
        <f t="shared" si="188"/>
        <v>34276698</v>
      </c>
      <c r="F401" s="275">
        <f t="shared" si="188"/>
        <v>4100470</v>
      </c>
      <c r="G401" s="275">
        <f t="shared" si="188"/>
        <v>33615152</v>
      </c>
      <c r="H401" s="275">
        <f t="shared" si="188"/>
        <v>42475101</v>
      </c>
      <c r="I401" s="275">
        <f t="shared" si="188"/>
        <v>58813536</v>
      </c>
    </row>
    <row r="402" spans="1:9" ht="26" x14ac:dyDescent="0.25">
      <c r="A402" s="276" t="s">
        <v>18</v>
      </c>
      <c r="B402" s="275">
        <f>B337</f>
        <v>827261693</v>
      </c>
      <c r="C402" s="275">
        <f>C337</f>
        <v>574155535</v>
      </c>
      <c r="D402" s="275">
        <f t="shared" ref="D402:I402" si="189">D337</f>
        <v>74309240</v>
      </c>
      <c r="E402" s="275">
        <f t="shared" si="189"/>
        <v>36594265</v>
      </c>
      <c r="F402" s="275">
        <f t="shared" si="189"/>
        <v>4596003</v>
      </c>
      <c r="G402" s="275">
        <f t="shared" si="189"/>
        <v>32632952</v>
      </c>
      <c r="H402" s="275">
        <f t="shared" si="189"/>
        <v>43677191</v>
      </c>
      <c r="I402" s="275">
        <f t="shared" si="189"/>
        <v>61296507</v>
      </c>
    </row>
    <row r="403" spans="1:9" ht="39" x14ac:dyDescent="0.25">
      <c r="A403" s="276" t="s">
        <v>14</v>
      </c>
      <c r="B403" s="284">
        <f>(B402-B401)/B401</f>
        <v>3.8202287155986996E-2</v>
      </c>
      <c r="C403" s="285">
        <f>(C402-C401)/C401</f>
        <v>4.9292317224982264E-2</v>
      </c>
      <c r="D403" s="284">
        <f t="shared" ref="D403:I403" si="190">(D402-D401)/D401</f>
        <v>-2.6815074585676456E-2</v>
      </c>
      <c r="E403" s="285">
        <f t="shared" si="190"/>
        <v>6.7613484822837952E-2</v>
      </c>
      <c r="F403" s="284">
        <f>(F402-F401)/F401</f>
        <v>0.12084785402648965</v>
      </c>
      <c r="G403" s="285">
        <f t="shared" si="190"/>
        <v>-2.9218966494633136E-2</v>
      </c>
      <c r="H403" s="284">
        <f t="shared" si="190"/>
        <v>2.8301051008683888E-2</v>
      </c>
      <c r="I403" s="284">
        <f t="shared" si="190"/>
        <v>4.2217679277097027E-2</v>
      </c>
    </row>
    <row r="404" spans="1:9" ht="39.5" thickBot="1" x14ac:dyDescent="0.35">
      <c r="A404" s="279" t="s">
        <v>15</v>
      </c>
      <c r="B404" s="280">
        <f>SUM((B402-B400)/B400)</f>
        <v>3.4574190351931967E-2</v>
      </c>
      <c r="C404" s="281">
        <f>SUM((C402-C400)/C400)</f>
        <v>3.5767459369934848E-2</v>
      </c>
      <c r="D404" s="280">
        <f t="shared" ref="D404:I404" si="191">SUM((D402-D400)/D400)</f>
        <v>1.7451463262424461E-2</v>
      </c>
      <c r="E404" s="281">
        <f t="shared" si="191"/>
        <v>4.7739335656071649E-2</v>
      </c>
      <c r="F404" s="280">
        <f t="shared" si="191"/>
        <v>8.5968170945833713E-2</v>
      </c>
      <c r="G404" s="281">
        <f t="shared" si="191"/>
        <v>2.8437911668862233E-2</v>
      </c>
      <c r="H404" s="280">
        <f>SUM((H402-H400)/H400)</f>
        <v>3.8816956900527382E-3</v>
      </c>
      <c r="I404" s="280">
        <f t="shared" si="191"/>
        <v>5.9496247717632067E-2</v>
      </c>
    </row>
    <row r="405" spans="1:9" x14ac:dyDescent="0.3">
      <c r="B405" s="286"/>
    </row>
    <row r="406" spans="1:9" x14ac:dyDescent="0.3">
      <c r="H406" s="221"/>
      <c r="I406" s="221"/>
    </row>
    <row r="407" spans="1:9" x14ac:dyDescent="0.3">
      <c r="B407" s="306"/>
      <c r="H407" s="221"/>
      <c r="I407" s="221"/>
    </row>
    <row r="408" spans="1:9" x14ac:dyDescent="0.3">
      <c r="B408" s="182"/>
      <c r="C408" s="182"/>
      <c r="D408" s="182"/>
      <c r="E408" s="182"/>
      <c r="F408" s="182"/>
      <c r="G408" s="182"/>
      <c r="H408" s="182"/>
      <c r="I408" s="182"/>
    </row>
    <row r="409" spans="1:9" x14ac:dyDescent="0.3">
      <c r="B409" s="227"/>
    </row>
    <row r="410" spans="1:9" x14ac:dyDescent="0.3">
      <c r="B410" s="227"/>
      <c r="C410" s="227"/>
      <c r="D410" s="227"/>
      <c r="E410" s="227"/>
      <c r="F410" s="227"/>
      <c r="G410" s="227"/>
      <c r="H410" s="227"/>
      <c r="I410" s="227"/>
    </row>
  </sheetData>
  <pageMargins left="0.7" right="0.7" top="0.75" bottom="0.75" header="0.3" footer="0.3"/>
  <pageSetup orientation="portrait" verticalDpi="0" r:id="rId1"/>
  <ignoredErrors>
    <ignoredError sqref="B362 J392" formulaRange="1"/>
    <ignoredError sqref="K386:Q386" formula="1"/>
    <ignoredError sqref="K387:Q387 K302:Q313"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09"/>
  <sheetViews>
    <sheetView workbookViewId="0">
      <pane ySplit="1" topLeftCell="A169" activePane="bottomLeft" state="frozen"/>
      <selection pane="bottomLeft" activeCell="N202" sqref="N202"/>
    </sheetView>
  </sheetViews>
  <sheetFormatPr defaultColWidth="9" defaultRowHeight="14.5" x14ac:dyDescent="0.35"/>
  <cols>
    <col min="1" max="1" width="15.453125" customWidth="1"/>
    <col min="2" max="2" width="16.1796875" bestFit="1" customWidth="1"/>
    <col min="3" max="3" width="13.453125" bestFit="1" customWidth="1"/>
    <col min="4" max="4" width="14.453125" bestFit="1" customWidth="1"/>
    <col min="5" max="5" width="15.453125" bestFit="1" customWidth="1"/>
    <col min="6" max="6" width="18.54296875" bestFit="1" customWidth="1"/>
    <col min="7" max="7" width="13.453125" bestFit="1" customWidth="1"/>
    <col min="8" max="8" width="15.54296875" bestFit="1" customWidth="1"/>
    <col min="9" max="9" width="13.453125" bestFit="1" customWidth="1"/>
    <col min="10" max="11" width="14.54296875" bestFit="1" customWidth="1"/>
    <col min="12" max="12" width="25.81640625" bestFit="1" customWidth="1"/>
  </cols>
  <sheetData>
    <row r="1" spans="1:12" ht="22.5" customHeight="1" x14ac:dyDescent="0.35">
      <c r="A1" s="32" t="s">
        <v>0</v>
      </c>
      <c r="B1" s="33" t="s">
        <v>260</v>
      </c>
      <c r="C1" s="34" t="s">
        <v>261</v>
      </c>
      <c r="D1" s="35" t="s">
        <v>262</v>
      </c>
      <c r="E1" s="35" t="s">
        <v>263</v>
      </c>
      <c r="F1" s="35" t="s">
        <v>264</v>
      </c>
      <c r="G1" s="35" t="s">
        <v>265</v>
      </c>
      <c r="H1" s="35" t="s">
        <v>266</v>
      </c>
      <c r="I1" s="35" t="s">
        <v>267</v>
      </c>
      <c r="J1" s="35" t="s">
        <v>268</v>
      </c>
      <c r="K1" s="35" t="s">
        <v>269</v>
      </c>
      <c r="L1" s="35" t="s">
        <v>270</v>
      </c>
    </row>
    <row r="2" spans="1:12" x14ac:dyDescent="0.35">
      <c r="A2" s="7">
        <v>40179</v>
      </c>
      <c r="B2" s="11">
        <v>1076399</v>
      </c>
      <c r="C2" s="9">
        <v>853436</v>
      </c>
      <c r="D2" s="10">
        <v>2130</v>
      </c>
      <c r="E2" s="10">
        <v>9237365</v>
      </c>
      <c r="F2" s="10">
        <v>20955</v>
      </c>
      <c r="G2" s="10">
        <v>50439</v>
      </c>
      <c r="H2" s="10">
        <v>4398612</v>
      </c>
      <c r="I2" s="10">
        <v>45794</v>
      </c>
      <c r="J2" s="10">
        <v>0</v>
      </c>
      <c r="K2" s="10">
        <v>2898471</v>
      </c>
      <c r="L2" s="10">
        <f>SUM(B2:K2)</f>
        <v>18583601</v>
      </c>
    </row>
    <row r="3" spans="1:12" x14ac:dyDescent="0.35">
      <c r="A3" s="7">
        <v>40210</v>
      </c>
      <c r="B3" s="11">
        <v>1269567</v>
      </c>
      <c r="C3" s="9">
        <v>992275</v>
      </c>
      <c r="D3" s="10">
        <v>4972</v>
      </c>
      <c r="E3" s="10">
        <v>7747711</v>
      </c>
      <c r="F3" s="10">
        <v>23738</v>
      </c>
      <c r="G3" s="10">
        <v>53440</v>
      </c>
      <c r="H3" s="10">
        <v>2771547</v>
      </c>
      <c r="I3" s="10">
        <v>55145</v>
      </c>
      <c r="J3" s="10">
        <v>0</v>
      </c>
      <c r="K3" s="10">
        <v>3098928</v>
      </c>
      <c r="L3" s="10">
        <f t="shared" ref="L3:L66" si="0">SUM(B3:K3)</f>
        <v>16017323</v>
      </c>
    </row>
    <row r="4" spans="1:12" x14ac:dyDescent="0.35">
      <c r="A4" s="7">
        <v>40238</v>
      </c>
      <c r="B4" s="11">
        <v>1378809</v>
      </c>
      <c r="C4" s="9">
        <v>1062489</v>
      </c>
      <c r="D4" s="10">
        <v>7693</v>
      </c>
      <c r="E4" s="10">
        <v>10388588</v>
      </c>
      <c r="F4" s="10">
        <v>14936</v>
      </c>
      <c r="G4" s="10">
        <v>99515</v>
      </c>
      <c r="H4" s="10">
        <v>3728047</v>
      </c>
      <c r="I4" s="10">
        <v>53738</v>
      </c>
      <c r="J4" s="10">
        <v>0</v>
      </c>
      <c r="K4" s="10">
        <v>3033604</v>
      </c>
      <c r="L4" s="10">
        <f t="shared" si="0"/>
        <v>19767419</v>
      </c>
    </row>
    <row r="5" spans="1:12" x14ac:dyDescent="0.35">
      <c r="A5" s="7">
        <v>40269</v>
      </c>
      <c r="B5" s="11">
        <v>1194945</v>
      </c>
      <c r="C5" s="9">
        <v>1084422</v>
      </c>
      <c r="D5" s="10">
        <v>6450</v>
      </c>
      <c r="E5" s="10">
        <v>9970577</v>
      </c>
      <c r="F5" s="10">
        <v>146133</v>
      </c>
      <c r="G5" s="10">
        <v>91198</v>
      </c>
      <c r="H5" s="10">
        <v>2823787</v>
      </c>
      <c r="I5" s="10">
        <v>63371</v>
      </c>
      <c r="J5" s="10">
        <v>0</v>
      </c>
      <c r="K5" s="10">
        <v>2838156</v>
      </c>
      <c r="L5" s="10">
        <f t="shared" si="0"/>
        <v>18219039</v>
      </c>
    </row>
    <row r="6" spans="1:12" x14ac:dyDescent="0.35">
      <c r="A6" s="7">
        <v>40299</v>
      </c>
      <c r="B6" s="11">
        <v>1092080</v>
      </c>
      <c r="C6" s="9">
        <v>791928</v>
      </c>
      <c r="D6" s="10">
        <v>6323</v>
      </c>
      <c r="E6" s="10">
        <v>9052466</v>
      </c>
      <c r="F6" s="10">
        <v>21520</v>
      </c>
      <c r="G6" s="10">
        <v>81302</v>
      </c>
      <c r="H6" s="10">
        <v>3626379</v>
      </c>
      <c r="I6" s="10">
        <v>68230</v>
      </c>
      <c r="J6" s="10">
        <v>0</v>
      </c>
      <c r="K6" s="10">
        <v>3306174</v>
      </c>
      <c r="L6" s="10">
        <f t="shared" si="0"/>
        <v>18046402</v>
      </c>
    </row>
    <row r="7" spans="1:12" x14ac:dyDescent="0.35">
      <c r="A7" s="7">
        <v>40330</v>
      </c>
      <c r="B7" s="11">
        <v>1428983</v>
      </c>
      <c r="C7" s="9">
        <v>1227235</v>
      </c>
      <c r="D7" s="10">
        <v>4361</v>
      </c>
      <c r="E7" s="10">
        <v>11570603</v>
      </c>
      <c r="F7" s="10">
        <v>312215</v>
      </c>
      <c r="G7" s="10">
        <v>49383</v>
      </c>
      <c r="H7" s="10">
        <v>3565081</v>
      </c>
      <c r="I7" s="10">
        <v>66558</v>
      </c>
      <c r="J7" s="10">
        <v>0</v>
      </c>
      <c r="K7" s="10">
        <v>2842923</v>
      </c>
      <c r="L7" s="10">
        <f t="shared" si="0"/>
        <v>21067342</v>
      </c>
    </row>
    <row r="8" spans="1:12" x14ac:dyDescent="0.35">
      <c r="A8" s="7">
        <v>40360</v>
      </c>
      <c r="B8" s="11">
        <v>1180890</v>
      </c>
      <c r="C8" s="9">
        <v>1036307</v>
      </c>
      <c r="D8" s="10">
        <v>29786</v>
      </c>
      <c r="E8" s="10">
        <v>8482978</v>
      </c>
      <c r="F8" s="10">
        <v>208383</v>
      </c>
      <c r="G8" s="10">
        <v>55805</v>
      </c>
      <c r="H8" s="10">
        <v>4964178</v>
      </c>
      <c r="I8" s="10">
        <v>67745</v>
      </c>
      <c r="J8" s="10">
        <v>0</v>
      </c>
      <c r="K8" s="10">
        <v>3597034</v>
      </c>
      <c r="L8" s="10">
        <f t="shared" si="0"/>
        <v>19623106</v>
      </c>
    </row>
    <row r="9" spans="1:12" x14ac:dyDescent="0.35">
      <c r="A9" s="7">
        <v>40391</v>
      </c>
      <c r="B9" s="11">
        <v>1384944</v>
      </c>
      <c r="C9" s="9">
        <v>942696</v>
      </c>
      <c r="D9" s="10">
        <v>-14646</v>
      </c>
      <c r="E9" s="10">
        <v>8875504</v>
      </c>
      <c r="F9" s="10">
        <v>93589</v>
      </c>
      <c r="G9" s="10">
        <v>79826</v>
      </c>
      <c r="H9" s="10">
        <v>2930805</v>
      </c>
      <c r="I9" s="10">
        <v>72301</v>
      </c>
      <c r="J9" s="10">
        <v>0</v>
      </c>
      <c r="K9" s="10">
        <v>3284204</v>
      </c>
      <c r="L9" s="10">
        <f t="shared" si="0"/>
        <v>17649223</v>
      </c>
    </row>
    <row r="10" spans="1:12" x14ac:dyDescent="0.35">
      <c r="A10" s="7">
        <v>40422</v>
      </c>
      <c r="B10" s="11">
        <v>1302689</v>
      </c>
      <c r="C10" s="9">
        <v>894860</v>
      </c>
      <c r="D10" s="10">
        <v>5948</v>
      </c>
      <c r="E10" s="10">
        <v>10054504</v>
      </c>
      <c r="F10" s="10">
        <v>229343</v>
      </c>
      <c r="G10" s="10">
        <v>63216</v>
      </c>
      <c r="H10" s="10">
        <v>5129802</v>
      </c>
      <c r="I10" s="10">
        <v>58089</v>
      </c>
      <c r="J10" s="10">
        <v>0</v>
      </c>
      <c r="K10" s="10">
        <v>2715432</v>
      </c>
      <c r="L10" s="10">
        <f t="shared" si="0"/>
        <v>20453883</v>
      </c>
    </row>
    <row r="11" spans="1:12" x14ac:dyDescent="0.35">
      <c r="A11" s="7">
        <v>40452</v>
      </c>
      <c r="B11" s="11">
        <v>1421110</v>
      </c>
      <c r="C11" s="9">
        <v>1073859</v>
      </c>
      <c r="D11" s="10">
        <v>7095</v>
      </c>
      <c r="E11" s="10">
        <v>8441392</v>
      </c>
      <c r="F11" s="10">
        <v>98697</v>
      </c>
      <c r="G11" s="10">
        <v>85005</v>
      </c>
      <c r="H11" s="10">
        <v>2729897</v>
      </c>
      <c r="I11" s="10">
        <v>75221</v>
      </c>
      <c r="J11" s="10">
        <v>0</v>
      </c>
      <c r="K11" s="10">
        <v>2768352</v>
      </c>
      <c r="L11" s="10">
        <f t="shared" si="0"/>
        <v>16700628</v>
      </c>
    </row>
    <row r="12" spans="1:12" x14ac:dyDescent="0.35">
      <c r="A12" s="7">
        <v>40483</v>
      </c>
      <c r="B12" s="11">
        <v>1228183</v>
      </c>
      <c r="C12" s="9">
        <v>984314</v>
      </c>
      <c r="D12" s="10">
        <v>7241</v>
      </c>
      <c r="E12" s="10">
        <v>9065810</v>
      </c>
      <c r="F12" s="10">
        <v>46914</v>
      </c>
      <c r="G12" s="10">
        <v>137837</v>
      </c>
      <c r="H12" s="10">
        <v>2359895</v>
      </c>
      <c r="I12" s="10">
        <v>54117</v>
      </c>
      <c r="J12" s="10">
        <v>0</v>
      </c>
      <c r="K12" s="10">
        <v>2937120</v>
      </c>
      <c r="L12" s="10">
        <f t="shared" si="0"/>
        <v>16821431</v>
      </c>
    </row>
    <row r="13" spans="1:12" x14ac:dyDescent="0.35">
      <c r="A13" s="7">
        <v>40513</v>
      </c>
      <c r="B13" s="11">
        <v>1440186</v>
      </c>
      <c r="C13" s="9">
        <v>1189419</v>
      </c>
      <c r="D13" s="10">
        <v>6747</v>
      </c>
      <c r="E13" s="10">
        <v>14403668</v>
      </c>
      <c r="F13" s="10">
        <v>89870</v>
      </c>
      <c r="G13" s="10">
        <v>68066</v>
      </c>
      <c r="H13" s="10">
        <v>3086914</v>
      </c>
      <c r="I13" s="10">
        <v>50427</v>
      </c>
      <c r="J13" s="10">
        <v>0</v>
      </c>
      <c r="K13" s="10">
        <v>3998379</v>
      </c>
      <c r="L13" s="10">
        <f t="shared" si="0"/>
        <v>24333676</v>
      </c>
    </row>
    <row r="14" spans="1:12" x14ac:dyDescent="0.35">
      <c r="A14" s="7">
        <v>40544</v>
      </c>
      <c r="B14" s="11">
        <v>1333213</v>
      </c>
      <c r="C14" s="9">
        <v>894350</v>
      </c>
      <c r="D14" s="10">
        <v>8245</v>
      </c>
      <c r="E14" s="10">
        <v>12759416</v>
      </c>
      <c r="F14" s="10">
        <v>280205</v>
      </c>
      <c r="G14" s="10">
        <v>64772</v>
      </c>
      <c r="H14" s="10">
        <v>3569422</v>
      </c>
      <c r="I14" s="10">
        <v>73768</v>
      </c>
      <c r="J14" s="10">
        <v>0</v>
      </c>
      <c r="K14" s="10">
        <v>2637777</v>
      </c>
      <c r="L14" s="10">
        <f t="shared" si="0"/>
        <v>21621168</v>
      </c>
    </row>
    <row r="15" spans="1:12" x14ac:dyDescent="0.35">
      <c r="A15" s="7">
        <v>40575</v>
      </c>
      <c r="B15" s="11">
        <v>1632202</v>
      </c>
      <c r="C15" s="9">
        <v>970558</v>
      </c>
      <c r="D15" s="10">
        <v>5368</v>
      </c>
      <c r="E15" s="10">
        <v>9149183</v>
      </c>
      <c r="F15" s="10">
        <v>32157</v>
      </c>
      <c r="G15" s="10">
        <v>29705</v>
      </c>
      <c r="H15" s="10">
        <v>3530558</v>
      </c>
      <c r="I15" s="10">
        <v>65185</v>
      </c>
      <c r="J15" s="10">
        <v>0</v>
      </c>
      <c r="K15" s="10">
        <v>3043124</v>
      </c>
      <c r="L15" s="10">
        <f t="shared" si="0"/>
        <v>18458040</v>
      </c>
    </row>
    <row r="16" spans="1:12" x14ac:dyDescent="0.35">
      <c r="A16" s="7">
        <v>40603</v>
      </c>
      <c r="B16" s="11">
        <v>1557577</v>
      </c>
      <c r="C16" s="9">
        <v>1049902</v>
      </c>
      <c r="D16" s="10">
        <v>5052</v>
      </c>
      <c r="E16" s="10">
        <v>13579889</v>
      </c>
      <c r="F16" s="10">
        <v>337861</v>
      </c>
      <c r="G16" s="10">
        <v>50323</v>
      </c>
      <c r="H16" s="10">
        <v>4011983</v>
      </c>
      <c r="I16" s="10">
        <v>64589</v>
      </c>
      <c r="J16" s="10">
        <v>0</v>
      </c>
      <c r="K16" s="10">
        <v>2821581</v>
      </c>
      <c r="L16" s="10">
        <f t="shared" si="0"/>
        <v>23478757</v>
      </c>
    </row>
    <row r="17" spans="1:12" x14ac:dyDescent="0.35">
      <c r="A17" s="7">
        <v>40634</v>
      </c>
      <c r="B17" s="11">
        <v>1125661</v>
      </c>
      <c r="C17" s="9">
        <v>877122</v>
      </c>
      <c r="D17" s="10">
        <v>5815.5</v>
      </c>
      <c r="E17" s="10">
        <v>13574101</v>
      </c>
      <c r="F17" s="10">
        <v>23844</v>
      </c>
      <c r="G17" s="10">
        <v>44052</v>
      </c>
      <c r="H17" s="10">
        <v>3404950</v>
      </c>
      <c r="I17" s="10">
        <v>69641</v>
      </c>
      <c r="J17" s="10">
        <v>0</v>
      </c>
      <c r="K17" s="10">
        <v>2766075</v>
      </c>
      <c r="L17" s="10">
        <f t="shared" si="0"/>
        <v>21891261.5</v>
      </c>
    </row>
    <row r="18" spans="1:12" x14ac:dyDescent="0.35">
      <c r="A18" s="7">
        <v>40664</v>
      </c>
      <c r="B18" s="11">
        <v>1115248</v>
      </c>
      <c r="C18" s="9">
        <v>888820</v>
      </c>
      <c r="D18" s="10">
        <v>5919</v>
      </c>
      <c r="E18" s="10">
        <v>8277806</v>
      </c>
      <c r="F18" s="10">
        <v>37344</v>
      </c>
      <c r="G18" s="10">
        <v>54272</v>
      </c>
      <c r="H18" s="10">
        <v>2714042</v>
      </c>
      <c r="I18" s="10">
        <v>71941</v>
      </c>
      <c r="J18" s="10">
        <v>0</v>
      </c>
      <c r="K18" s="10">
        <v>2933597</v>
      </c>
      <c r="L18" s="10">
        <f t="shared" si="0"/>
        <v>16098989</v>
      </c>
    </row>
    <row r="19" spans="1:12" x14ac:dyDescent="0.35">
      <c r="A19" s="7">
        <v>40695</v>
      </c>
      <c r="B19" s="11">
        <v>1413304</v>
      </c>
      <c r="C19" s="9">
        <v>1315370</v>
      </c>
      <c r="D19" s="10">
        <v>5506</v>
      </c>
      <c r="E19" s="10">
        <v>13334062</v>
      </c>
      <c r="F19" s="10">
        <v>60220</v>
      </c>
      <c r="G19" s="10">
        <v>68758</v>
      </c>
      <c r="H19" s="10">
        <v>4928628</v>
      </c>
      <c r="I19" s="10">
        <v>80071</v>
      </c>
      <c r="J19" s="10">
        <v>0</v>
      </c>
      <c r="K19" s="10">
        <v>3277596</v>
      </c>
      <c r="L19" s="10">
        <f t="shared" si="0"/>
        <v>24483515</v>
      </c>
    </row>
    <row r="20" spans="1:12" x14ac:dyDescent="0.35">
      <c r="A20" s="7">
        <v>40725</v>
      </c>
      <c r="B20" s="11">
        <v>1216035</v>
      </c>
      <c r="C20" s="9">
        <v>1036307</v>
      </c>
      <c r="D20" s="10">
        <v>29786</v>
      </c>
      <c r="E20" s="10">
        <v>8481432</v>
      </c>
      <c r="F20" s="10">
        <v>208383</v>
      </c>
      <c r="G20" s="10">
        <v>55805</v>
      </c>
      <c r="H20" s="10">
        <v>4964178</v>
      </c>
      <c r="I20" s="10">
        <v>67745</v>
      </c>
      <c r="J20" s="10">
        <v>0</v>
      </c>
      <c r="K20" s="10">
        <v>3453500</v>
      </c>
      <c r="L20" s="10">
        <f t="shared" si="0"/>
        <v>19513171</v>
      </c>
    </row>
    <row r="21" spans="1:12" x14ac:dyDescent="0.35">
      <c r="A21" s="7">
        <v>40756</v>
      </c>
      <c r="B21" s="11">
        <v>1928633</v>
      </c>
      <c r="C21" s="9">
        <v>1046441</v>
      </c>
      <c r="D21" s="10">
        <v>4698</v>
      </c>
      <c r="E21" s="10">
        <v>10536009</v>
      </c>
      <c r="F21" s="10">
        <v>53837</v>
      </c>
      <c r="G21" s="10">
        <v>71706</v>
      </c>
      <c r="H21" s="10">
        <v>2686785</v>
      </c>
      <c r="I21" s="10">
        <v>95544</v>
      </c>
      <c r="J21" s="10">
        <v>0</v>
      </c>
      <c r="K21" s="10">
        <v>2768352</v>
      </c>
      <c r="L21" s="10">
        <f t="shared" si="0"/>
        <v>19192005</v>
      </c>
    </row>
    <row r="22" spans="1:12" x14ac:dyDescent="0.35">
      <c r="A22" s="7">
        <v>40787</v>
      </c>
      <c r="B22" s="11">
        <v>1248259</v>
      </c>
      <c r="C22" s="9">
        <v>1450695</v>
      </c>
      <c r="D22" s="10">
        <v>1922</v>
      </c>
      <c r="E22" s="10">
        <v>12516668</v>
      </c>
      <c r="F22" s="10">
        <v>204572</v>
      </c>
      <c r="G22" s="10">
        <v>153012</v>
      </c>
      <c r="H22" s="10">
        <v>3419275</v>
      </c>
      <c r="I22" s="10">
        <v>77984</v>
      </c>
      <c r="J22" s="10">
        <v>0</v>
      </c>
      <c r="K22" s="10">
        <v>2843863</v>
      </c>
      <c r="L22" s="10">
        <f t="shared" si="0"/>
        <v>21916250</v>
      </c>
    </row>
    <row r="23" spans="1:12" x14ac:dyDescent="0.35">
      <c r="A23" s="7">
        <v>40817</v>
      </c>
      <c r="B23" s="11">
        <v>1266936</v>
      </c>
      <c r="C23" s="9">
        <v>943201</v>
      </c>
      <c r="D23" s="10">
        <v>5280</v>
      </c>
      <c r="E23" s="10">
        <v>9960695</v>
      </c>
      <c r="F23" s="10">
        <v>31201</v>
      </c>
      <c r="G23" s="10">
        <v>56350</v>
      </c>
      <c r="H23" s="10">
        <v>3563137</v>
      </c>
      <c r="I23" s="10">
        <v>75559</v>
      </c>
      <c r="J23" s="10">
        <v>0</v>
      </c>
      <c r="K23" s="10">
        <v>2979119</v>
      </c>
      <c r="L23" s="10">
        <f t="shared" si="0"/>
        <v>18881478</v>
      </c>
    </row>
    <row r="24" spans="1:12" x14ac:dyDescent="0.35">
      <c r="A24" s="7">
        <v>40848</v>
      </c>
      <c r="B24" s="11">
        <v>1089225</v>
      </c>
      <c r="C24" s="9">
        <v>1034936</v>
      </c>
      <c r="D24" s="10">
        <v>5561</v>
      </c>
      <c r="E24" s="10">
        <v>10848272</v>
      </c>
      <c r="F24" s="10">
        <v>52651</v>
      </c>
      <c r="G24" s="10">
        <v>57250</v>
      </c>
      <c r="H24" s="10">
        <v>3244733</v>
      </c>
      <c r="I24" s="10">
        <v>53035</v>
      </c>
      <c r="J24" s="10">
        <v>0</v>
      </c>
      <c r="K24" s="10">
        <v>2938341</v>
      </c>
      <c r="L24" s="10">
        <f t="shared" si="0"/>
        <v>19324004</v>
      </c>
    </row>
    <row r="25" spans="1:12" x14ac:dyDescent="0.35">
      <c r="A25" s="7">
        <v>40878</v>
      </c>
      <c r="B25" s="11">
        <v>1269952</v>
      </c>
      <c r="C25" s="9">
        <v>1238572</v>
      </c>
      <c r="D25" s="10">
        <v>3751</v>
      </c>
      <c r="E25" s="10">
        <v>15095112</v>
      </c>
      <c r="F25" s="10">
        <v>46527</v>
      </c>
      <c r="G25" s="10">
        <v>58583</v>
      </c>
      <c r="H25" s="10">
        <v>3878111</v>
      </c>
      <c r="I25" s="10">
        <v>69948</v>
      </c>
      <c r="J25" s="10">
        <v>0</v>
      </c>
      <c r="K25" s="10">
        <v>4610969</v>
      </c>
      <c r="L25" s="10">
        <f t="shared" si="0"/>
        <v>26271525</v>
      </c>
    </row>
    <row r="26" spans="1:12" x14ac:dyDescent="0.35">
      <c r="A26" s="7">
        <v>40909</v>
      </c>
      <c r="B26" s="11">
        <v>1570917</v>
      </c>
      <c r="C26" s="9">
        <v>918386</v>
      </c>
      <c r="D26" s="10">
        <v>7143</v>
      </c>
      <c r="E26" s="10">
        <v>11466574</v>
      </c>
      <c r="F26" s="10">
        <v>24566</v>
      </c>
      <c r="G26" s="10">
        <v>45272</v>
      </c>
      <c r="H26" s="10">
        <v>2931823</v>
      </c>
      <c r="I26" s="10">
        <v>85501</v>
      </c>
      <c r="J26" s="10">
        <v>0</v>
      </c>
      <c r="K26" s="10">
        <v>2463792</v>
      </c>
      <c r="L26" s="10">
        <f t="shared" si="0"/>
        <v>19513974</v>
      </c>
    </row>
    <row r="27" spans="1:12" x14ac:dyDescent="0.35">
      <c r="A27" s="7">
        <v>40940</v>
      </c>
      <c r="B27" s="11">
        <v>1485210</v>
      </c>
      <c r="C27" s="9">
        <v>1184071</v>
      </c>
      <c r="D27" s="10">
        <v>2755</v>
      </c>
      <c r="E27" s="10">
        <v>11684043</v>
      </c>
      <c r="F27" s="10">
        <v>46093</v>
      </c>
      <c r="G27" s="10">
        <v>38969</v>
      </c>
      <c r="H27" s="10">
        <v>2285808</v>
      </c>
      <c r="I27" s="10">
        <v>70560</v>
      </c>
      <c r="J27" s="10">
        <v>0</v>
      </c>
      <c r="K27" s="10">
        <v>3505271</v>
      </c>
      <c r="L27" s="10">
        <f t="shared" si="0"/>
        <v>20302780</v>
      </c>
    </row>
    <row r="28" spans="1:12" x14ac:dyDescent="0.35">
      <c r="A28" s="7">
        <v>40969</v>
      </c>
      <c r="B28" s="11">
        <v>1428182</v>
      </c>
      <c r="C28" s="9">
        <v>1006428</v>
      </c>
      <c r="D28" s="10">
        <v>5979</v>
      </c>
      <c r="E28" s="10">
        <v>11953094</v>
      </c>
      <c r="F28" s="10">
        <v>38909</v>
      </c>
      <c r="G28" s="10">
        <v>52136</v>
      </c>
      <c r="H28" s="10">
        <v>3297977</v>
      </c>
      <c r="I28" s="10">
        <v>87923</v>
      </c>
      <c r="J28" s="10">
        <v>0</v>
      </c>
      <c r="K28" s="10">
        <v>3475727</v>
      </c>
      <c r="L28" s="10">
        <f t="shared" si="0"/>
        <v>21346355</v>
      </c>
    </row>
    <row r="29" spans="1:12" x14ac:dyDescent="0.35">
      <c r="A29" s="7">
        <v>41000</v>
      </c>
      <c r="B29" s="11">
        <v>1035107</v>
      </c>
      <c r="C29" s="9">
        <v>867457</v>
      </c>
      <c r="D29" s="10">
        <v>3882</v>
      </c>
      <c r="E29" s="10">
        <v>8988298</v>
      </c>
      <c r="F29" s="10">
        <v>18956</v>
      </c>
      <c r="G29" s="10">
        <v>73028</v>
      </c>
      <c r="H29" s="10">
        <v>3583911</v>
      </c>
      <c r="I29" s="10">
        <v>78635</v>
      </c>
      <c r="J29" s="10">
        <v>0</v>
      </c>
      <c r="K29" s="10">
        <v>3034468</v>
      </c>
      <c r="L29" s="10">
        <f t="shared" si="0"/>
        <v>17683742</v>
      </c>
    </row>
    <row r="30" spans="1:12" x14ac:dyDescent="0.35">
      <c r="A30" s="7">
        <v>41030</v>
      </c>
      <c r="B30" s="11">
        <v>1290091</v>
      </c>
      <c r="C30" s="9">
        <v>951293</v>
      </c>
      <c r="D30" s="10">
        <v>4920</v>
      </c>
      <c r="E30" s="10">
        <v>9582284</v>
      </c>
      <c r="F30" s="10">
        <v>84097</v>
      </c>
      <c r="G30" s="10">
        <v>91356</v>
      </c>
      <c r="H30" s="10">
        <v>2934797</v>
      </c>
      <c r="I30" s="10">
        <v>95100</v>
      </c>
      <c r="J30" s="10">
        <v>0</v>
      </c>
      <c r="K30" s="10">
        <v>3213281</v>
      </c>
      <c r="L30" s="10">
        <f t="shared" si="0"/>
        <v>18247219</v>
      </c>
    </row>
    <row r="31" spans="1:12" x14ac:dyDescent="0.35">
      <c r="A31" s="7">
        <v>41061</v>
      </c>
      <c r="B31" s="11">
        <v>1428165</v>
      </c>
      <c r="C31" s="9">
        <v>1073985</v>
      </c>
      <c r="D31" s="10">
        <v>8543</v>
      </c>
      <c r="E31" s="10">
        <v>13169399</v>
      </c>
      <c r="F31" s="10">
        <v>50167</v>
      </c>
      <c r="G31" s="10">
        <v>59513</v>
      </c>
      <c r="H31" s="10">
        <v>3194545</v>
      </c>
      <c r="I31" s="10">
        <v>75705</v>
      </c>
      <c r="J31" s="10">
        <v>0</v>
      </c>
      <c r="K31" s="10">
        <v>3566023</v>
      </c>
      <c r="L31" s="10">
        <f t="shared" si="0"/>
        <v>22626045</v>
      </c>
    </row>
    <row r="32" spans="1:12" x14ac:dyDescent="0.35">
      <c r="A32" s="7">
        <v>41091</v>
      </c>
      <c r="B32" s="11">
        <v>1180680</v>
      </c>
      <c r="C32" s="9">
        <v>875553</v>
      </c>
      <c r="D32" s="10">
        <v>69385</v>
      </c>
      <c r="E32" s="10">
        <v>10176239</v>
      </c>
      <c r="F32" s="10">
        <v>29440</v>
      </c>
      <c r="G32" s="10">
        <v>40681</v>
      </c>
      <c r="H32" s="10">
        <v>2990557</v>
      </c>
      <c r="I32" s="10">
        <v>71145</v>
      </c>
      <c r="J32" s="10">
        <v>0</v>
      </c>
      <c r="K32" s="10">
        <v>2979920</v>
      </c>
      <c r="L32" s="10">
        <f t="shared" si="0"/>
        <v>18413600</v>
      </c>
    </row>
    <row r="33" spans="1:12" x14ac:dyDescent="0.35">
      <c r="A33" s="7">
        <v>41122</v>
      </c>
      <c r="B33" s="11">
        <v>1360477</v>
      </c>
      <c r="C33" s="9">
        <v>900165</v>
      </c>
      <c r="D33" s="10">
        <v>93547</v>
      </c>
      <c r="E33" s="10">
        <v>10266284</v>
      </c>
      <c r="F33" s="10">
        <v>71136</v>
      </c>
      <c r="G33" s="10">
        <v>49847</v>
      </c>
      <c r="H33" s="10">
        <v>3793023</v>
      </c>
      <c r="I33" s="10">
        <v>97188</v>
      </c>
      <c r="J33" s="10">
        <v>0</v>
      </c>
      <c r="K33" s="10">
        <v>3246025</v>
      </c>
      <c r="L33" s="10">
        <f t="shared" si="0"/>
        <v>19877692</v>
      </c>
    </row>
    <row r="34" spans="1:12" x14ac:dyDescent="0.35">
      <c r="A34" s="7">
        <v>41153</v>
      </c>
      <c r="B34" s="11">
        <v>1313205</v>
      </c>
      <c r="C34" s="9">
        <v>870843</v>
      </c>
      <c r="D34" s="10">
        <v>177534</v>
      </c>
      <c r="E34" s="10">
        <v>12213117</v>
      </c>
      <c r="F34" s="10">
        <v>147935</v>
      </c>
      <c r="G34" s="10">
        <v>51811</v>
      </c>
      <c r="H34" s="10">
        <v>2981163</v>
      </c>
      <c r="I34" s="10">
        <v>62422</v>
      </c>
      <c r="J34" s="10">
        <v>0</v>
      </c>
      <c r="K34" s="10">
        <v>3130014</v>
      </c>
      <c r="L34" s="10">
        <f t="shared" si="0"/>
        <v>20948044</v>
      </c>
    </row>
    <row r="35" spans="1:12" x14ac:dyDescent="0.35">
      <c r="A35" s="7">
        <v>41183</v>
      </c>
      <c r="B35" s="11">
        <v>1270928</v>
      </c>
      <c r="C35" s="9">
        <v>843382</v>
      </c>
      <c r="D35" s="10">
        <v>91042</v>
      </c>
      <c r="E35" s="10">
        <v>11284269</v>
      </c>
      <c r="F35" s="10">
        <v>165929</v>
      </c>
      <c r="G35" s="10">
        <v>78969</v>
      </c>
      <c r="H35" s="10">
        <v>3055105</v>
      </c>
      <c r="I35" s="10">
        <v>89272</v>
      </c>
      <c r="J35" s="10">
        <v>0</v>
      </c>
      <c r="K35" s="10">
        <v>2866118</v>
      </c>
      <c r="L35" s="10">
        <f t="shared" si="0"/>
        <v>19745014</v>
      </c>
    </row>
    <row r="36" spans="1:12" x14ac:dyDescent="0.35">
      <c r="A36" s="7">
        <v>41214</v>
      </c>
      <c r="B36" s="11">
        <v>1404595</v>
      </c>
      <c r="C36" s="9">
        <v>954449</v>
      </c>
      <c r="D36" s="10">
        <v>76559</v>
      </c>
      <c r="E36" s="10">
        <v>10037433</v>
      </c>
      <c r="F36" s="10">
        <v>48140</v>
      </c>
      <c r="G36" s="10">
        <v>48409</v>
      </c>
      <c r="H36" s="10">
        <v>2583862</v>
      </c>
      <c r="I36" s="10">
        <v>71412</v>
      </c>
      <c r="J36" s="10">
        <v>0</v>
      </c>
      <c r="K36" s="10">
        <v>3194372</v>
      </c>
      <c r="L36" s="10">
        <f t="shared" si="0"/>
        <v>18419231</v>
      </c>
    </row>
    <row r="37" spans="1:12" x14ac:dyDescent="0.35">
      <c r="A37" s="7">
        <v>41244</v>
      </c>
      <c r="B37" s="11">
        <v>1371793</v>
      </c>
      <c r="C37" s="9">
        <v>1146725</v>
      </c>
      <c r="D37" s="10">
        <v>73507</v>
      </c>
      <c r="E37" s="10">
        <v>14198602</v>
      </c>
      <c r="F37" s="10">
        <v>69256</v>
      </c>
      <c r="G37" s="10">
        <v>51610</v>
      </c>
      <c r="H37" s="10">
        <v>3152051</v>
      </c>
      <c r="I37" s="10">
        <v>97563</v>
      </c>
      <c r="J37" s="10">
        <v>0</v>
      </c>
      <c r="K37" s="10">
        <v>3677463</v>
      </c>
      <c r="L37" s="10">
        <f t="shared" si="0"/>
        <v>23838570</v>
      </c>
    </row>
    <row r="38" spans="1:12" x14ac:dyDescent="0.35">
      <c r="A38" s="7">
        <v>41275</v>
      </c>
      <c r="B38" s="11">
        <v>1444000</v>
      </c>
      <c r="C38" s="9">
        <v>864779</v>
      </c>
      <c r="D38" s="10">
        <v>75264</v>
      </c>
      <c r="E38" s="10">
        <v>9725631</v>
      </c>
      <c r="F38" s="10">
        <v>38282</v>
      </c>
      <c r="G38" s="10">
        <v>52842</v>
      </c>
      <c r="H38" s="10">
        <v>3919917</v>
      </c>
      <c r="I38" s="10">
        <v>96130</v>
      </c>
      <c r="J38" s="10">
        <v>0</v>
      </c>
      <c r="K38" s="10">
        <v>3146971</v>
      </c>
      <c r="L38" s="10">
        <f t="shared" si="0"/>
        <v>19363816</v>
      </c>
    </row>
    <row r="39" spans="1:12" x14ac:dyDescent="0.35">
      <c r="A39" s="7">
        <v>41306</v>
      </c>
      <c r="B39" s="11">
        <v>1643140</v>
      </c>
      <c r="C39" s="9">
        <v>1032191</v>
      </c>
      <c r="D39" s="10">
        <v>1019977</v>
      </c>
      <c r="E39" s="10">
        <v>10706712</v>
      </c>
      <c r="F39" s="10">
        <v>25252</v>
      </c>
      <c r="G39" s="10">
        <v>37500</v>
      </c>
      <c r="H39" s="10">
        <v>2537339</v>
      </c>
      <c r="I39" s="10">
        <v>79073</v>
      </c>
      <c r="J39" s="10">
        <v>0</v>
      </c>
      <c r="K39" s="10">
        <v>3192472</v>
      </c>
      <c r="L39" s="10">
        <f t="shared" si="0"/>
        <v>20273656</v>
      </c>
    </row>
    <row r="40" spans="1:12" x14ac:dyDescent="0.35">
      <c r="A40" s="7">
        <v>41334</v>
      </c>
      <c r="B40" s="11">
        <v>1842636</v>
      </c>
      <c r="C40" s="9">
        <v>1374752</v>
      </c>
      <c r="D40" s="10">
        <v>30241</v>
      </c>
      <c r="E40" s="10">
        <v>11616444</v>
      </c>
      <c r="F40" s="10">
        <v>86264</v>
      </c>
      <c r="G40" s="10">
        <v>63044</v>
      </c>
      <c r="H40" s="10">
        <v>7750350</v>
      </c>
      <c r="I40" s="10">
        <v>97459</v>
      </c>
      <c r="J40" s="10">
        <v>0</v>
      </c>
      <c r="K40" s="10">
        <v>3596649</v>
      </c>
      <c r="L40" s="10">
        <f t="shared" si="0"/>
        <v>26457839</v>
      </c>
    </row>
    <row r="41" spans="1:12" x14ac:dyDescent="0.35">
      <c r="A41" s="7">
        <v>41365</v>
      </c>
      <c r="B41" s="11">
        <v>1248895</v>
      </c>
      <c r="C41" s="9">
        <v>1073469</v>
      </c>
      <c r="D41" s="10">
        <v>150733</v>
      </c>
      <c r="E41" s="10">
        <v>10336143</v>
      </c>
      <c r="F41" s="10">
        <v>27628</v>
      </c>
      <c r="G41" s="10">
        <v>51901</v>
      </c>
      <c r="H41" s="10">
        <v>4181117</v>
      </c>
      <c r="I41" s="10">
        <v>98616</v>
      </c>
      <c r="J41" s="10">
        <v>0</v>
      </c>
      <c r="K41" s="10">
        <v>3272978</v>
      </c>
      <c r="L41" s="10">
        <f t="shared" si="0"/>
        <v>20441480</v>
      </c>
    </row>
    <row r="42" spans="1:12" x14ac:dyDescent="0.35">
      <c r="A42" s="7">
        <v>41395</v>
      </c>
      <c r="B42" s="11">
        <v>1287715</v>
      </c>
      <c r="C42" s="9">
        <v>1117917</v>
      </c>
      <c r="D42" s="10">
        <v>106503</v>
      </c>
      <c r="E42" s="10">
        <v>9222518</v>
      </c>
      <c r="F42" s="10">
        <v>128823</v>
      </c>
      <c r="G42" s="10">
        <v>56654</v>
      </c>
      <c r="H42" s="10">
        <v>3478918</v>
      </c>
      <c r="I42" s="10">
        <v>96464</v>
      </c>
      <c r="J42" s="10">
        <v>0</v>
      </c>
      <c r="K42" s="10">
        <v>3576557</v>
      </c>
      <c r="L42" s="10">
        <f t="shared" si="0"/>
        <v>19072069</v>
      </c>
    </row>
    <row r="43" spans="1:12" x14ac:dyDescent="0.35">
      <c r="A43" s="7">
        <v>41426</v>
      </c>
      <c r="B43" s="11">
        <v>1055952</v>
      </c>
      <c r="C43" s="9">
        <v>1008905</v>
      </c>
      <c r="D43" s="10">
        <v>82761</v>
      </c>
      <c r="E43" s="10">
        <v>15275701</v>
      </c>
      <c r="F43" s="10">
        <v>75149</v>
      </c>
      <c r="G43" s="10">
        <v>50314</v>
      </c>
      <c r="H43" s="10">
        <v>3688085</v>
      </c>
      <c r="I43" s="10">
        <v>85915</v>
      </c>
      <c r="J43" s="10">
        <v>0</v>
      </c>
      <c r="K43" s="10">
        <v>3170482</v>
      </c>
      <c r="L43" s="10">
        <f t="shared" si="0"/>
        <v>24493264</v>
      </c>
    </row>
    <row r="44" spans="1:12" x14ac:dyDescent="0.35">
      <c r="A44" s="7">
        <v>41456</v>
      </c>
      <c r="B44" s="11">
        <v>1263934</v>
      </c>
      <c r="C44" s="9">
        <v>1026221</v>
      </c>
      <c r="D44" s="10">
        <v>85071</v>
      </c>
      <c r="E44" s="10">
        <v>11271394</v>
      </c>
      <c r="F44" s="10">
        <v>61801</v>
      </c>
      <c r="G44" s="10">
        <v>45256</v>
      </c>
      <c r="H44" s="10">
        <v>3226973</v>
      </c>
      <c r="I44" s="10">
        <v>94092</v>
      </c>
      <c r="J44" s="10">
        <v>0</v>
      </c>
      <c r="K44" s="10">
        <v>3524984</v>
      </c>
      <c r="L44" s="10">
        <f t="shared" si="0"/>
        <v>20599726</v>
      </c>
    </row>
    <row r="45" spans="1:12" x14ac:dyDescent="0.35">
      <c r="A45" s="7">
        <v>41487</v>
      </c>
      <c r="B45" s="11">
        <v>1310948</v>
      </c>
      <c r="C45" s="9">
        <v>1020912</v>
      </c>
      <c r="D45" s="10">
        <v>93261</v>
      </c>
      <c r="E45" s="10">
        <v>10309156</v>
      </c>
      <c r="F45" s="10">
        <v>62974</v>
      </c>
      <c r="G45" s="10">
        <v>79388</v>
      </c>
      <c r="H45" s="10">
        <v>2616666</v>
      </c>
      <c r="I45" s="10">
        <v>90938</v>
      </c>
      <c r="J45" s="10">
        <v>0</v>
      </c>
      <c r="K45" s="10">
        <v>3693888</v>
      </c>
      <c r="L45" s="10">
        <f t="shared" si="0"/>
        <v>19278131</v>
      </c>
    </row>
    <row r="46" spans="1:12" x14ac:dyDescent="0.35">
      <c r="A46" s="7">
        <v>41518</v>
      </c>
      <c r="B46" s="11">
        <v>1399667</v>
      </c>
      <c r="C46" s="9">
        <v>947222</v>
      </c>
      <c r="D46" s="10">
        <v>83634</v>
      </c>
      <c r="E46" s="10">
        <v>11482439</v>
      </c>
      <c r="F46" s="10">
        <v>50221</v>
      </c>
      <c r="G46" s="10">
        <v>71370</v>
      </c>
      <c r="H46" s="10">
        <v>3769812</v>
      </c>
      <c r="I46" s="10">
        <v>90516</v>
      </c>
      <c r="J46" s="10">
        <v>0</v>
      </c>
      <c r="K46" s="10">
        <v>3239712</v>
      </c>
      <c r="L46" s="10">
        <f t="shared" si="0"/>
        <v>21134593</v>
      </c>
    </row>
    <row r="47" spans="1:12" x14ac:dyDescent="0.35">
      <c r="A47" s="7">
        <v>41548</v>
      </c>
      <c r="B47" s="11">
        <v>1133231</v>
      </c>
      <c r="C47" s="9">
        <v>1100961</v>
      </c>
      <c r="D47" s="10">
        <v>85635</v>
      </c>
      <c r="E47" s="10">
        <v>9246040</v>
      </c>
      <c r="F47" s="10">
        <v>37042</v>
      </c>
      <c r="G47" s="10">
        <v>44223</v>
      </c>
      <c r="H47" s="10">
        <v>2801619</v>
      </c>
      <c r="I47" s="10">
        <v>104535</v>
      </c>
      <c r="J47" s="10">
        <v>0</v>
      </c>
      <c r="K47" s="10">
        <v>3332889</v>
      </c>
      <c r="L47" s="10">
        <f t="shared" si="0"/>
        <v>17886175</v>
      </c>
    </row>
    <row r="48" spans="1:12" x14ac:dyDescent="0.35">
      <c r="A48" s="7">
        <v>41579</v>
      </c>
      <c r="B48" s="11">
        <v>1191439</v>
      </c>
      <c r="C48" s="9">
        <v>898382</v>
      </c>
      <c r="D48" s="10">
        <v>82699</v>
      </c>
      <c r="E48" s="10">
        <v>9352639</v>
      </c>
      <c r="F48" s="10">
        <v>331716</v>
      </c>
      <c r="G48" s="10">
        <v>69403</v>
      </c>
      <c r="H48" s="10">
        <v>2548632</v>
      </c>
      <c r="I48" s="10">
        <v>89498</v>
      </c>
      <c r="J48" s="10">
        <v>0</v>
      </c>
      <c r="K48" s="10">
        <v>3491838</v>
      </c>
      <c r="L48" s="10">
        <f t="shared" si="0"/>
        <v>18056246</v>
      </c>
    </row>
    <row r="49" spans="1:12" x14ac:dyDescent="0.35">
      <c r="A49" s="7">
        <v>41609</v>
      </c>
      <c r="B49" s="11">
        <v>1277392</v>
      </c>
      <c r="C49" s="9">
        <v>1172105</v>
      </c>
      <c r="D49" s="10">
        <v>84623</v>
      </c>
      <c r="E49" s="10">
        <v>15370579</v>
      </c>
      <c r="F49" s="10">
        <v>49929</v>
      </c>
      <c r="G49" s="10">
        <v>52425</v>
      </c>
      <c r="H49" s="10">
        <v>3627207</v>
      </c>
      <c r="I49" s="10">
        <v>71295</v>
      </c>
      <c r="J49" s="10">
        <v>0</v>
      </c>
      <c r="K49" s="10">
        <v>4098263</v>
      </c>
      <c r="L49" s="10">
        <f t="shared" si="0"/>
        <v>25803818</v>
      </c>
    </row>
    <row r="50" spans="1:12" x14ac:dyDescent="0.35">
      <c r="A50" s="7">
        <v>41640</v>
      </c>
      <c r="B50" s="11">
        <v>1011492</v>
      </c>
      <c r="C50" s="9">
        <v>794465</v>
      </c>
      <c r="D50" s="10">
        <v>103786</v>
      </c>
      <c r="E50" s="10">
        <v>9734405</v>
      </c>
      <c r="F50" s="10">
        <v>24433</v>
      </c>
      <c r="G50" s="10">
        <v>41133</v>
      </c>
      <c r="H50" s="10">
        <v>3166268</v>
      </c>
      <c r="I50" s="10">
        <v>73566</v>
      </c>
      <c r="J50" s="10">
        <v>0</v>
      </c>
      <c r="K50" s="10">
        <v>3162621</v>
      </c>
      <c r="L50" s="10">
        <f t="shared" si="0"/>
        <v>18112169</v>
      </c>
    </row>
    <row r="51" spans="1:12" x14ac:dyDescent="0.35">
      <c r="A51" s="7">
        <v>41671</v>
      </c>
      <c r="B51" s="11">
        <v>1237939</v>
      </c>
      <c r="C51" s="9">
        <v>912568</v>
      </c>
      <c r="D51" s="10">
        <v>261442</v>
      </c>
      <c r="E51" s="10">
        <v>9822994</v>
      </c>
      <c r="F51" s="10">
        <v>34257</v>
      </c>
      <c r="G51" s="10">
        <v>77059</v>
      </c>
      <c r="H51" s="10">
        <v>2994353</v>
      </c>
      <c r="I51" s="10">
        <v>161514</v>
      </c>
      <c r="J51" s="10">
        <v>5999</v>
      </c>
      <c r="K51" s="10">
        <v>3633424</v>
      </c>
      <c r="L51" s="10">
        <f t="shared" si="0"/>
        <v>19141549</v>
      </c>
    </row>
    <row r="52" spans="1:12" x14ac:dyDescent="0.35">
      <c r="A52" s="7">
        <v>41699</v>
      </c>
      <c r="B52" s="11">
        <v>1372790</v>
      </c>
      <c r="C52" s="9">
        <v>785063</v>
      </c>
      <c r="D52" s="10">
        <v>315399</v>
      </c>
      <c r="E52" s="10">
        <v>11989032</v>
      </c>
      <c r="F52" s="10">
        <v>44397</v>
      </c>
      <c r="G52" s="10">
        <v>91063</v>
      </c>
      <c r="H52" s="10">
        <v>3360253</v>
      </c>
      <c r="I52" s="10">
        <v>81928</v>
      </c>
      <c r="J52" s="10">
        <v>0</v>
      </c>
      <c r="K52" s="10">
        <v>3614244</v>
      </c>
      <c r="L52" s="10">
        <f t="shared" si="0"/>
        <v>21654169</v>
      </c>
    </row>
    <row r="53" spans="1:12" x14ac:dyDescent="0.35">
      <c r="A53" s="7">
        <v>41730</v>
      </c>
      <c r="B53" s="11">
        <v>1302880</v>
      </c>
      <c r="C53" s="9">
        <v>1152683</v>
      </c>
      <c r="D53" s="10">
        <v>275182</v>
      </c>
      <c r="E53" s="10">
        <v>10406818</v>
      </c>
      <c r="F53" s="10">
        <v>37646</v>
      </c>
      <c r="G53" s="10">
        <v>107224</v>
      </c>
      <c r="H53" s="10">
        <v>2386486</v>
      </c>
      <c r="I53" s="10">
        <v>100527</v>
      </c>
      <c r="J53" s="10">
        <v>0</v>
      </c>
      <c r="K53" s="10">
        <v>3825389</v>
      </c>
      <c r="L53" s="10">
        <f t="shared" si="0"/>
        <v>19594835</v>
      </c>
    </row>
    <row r="54" spans="1:12" x14ac:dyDescent="0.35">
      <c r="A54" s="7">
        <v>41760</v>
      </c>
      <c r="B54" s="11">
        <v>1214011</v>
      </c>
      <c r="C54" s="9">
        <v>896244</v>
      </c>
      <c r="D54" s="10">
        <v>268565</v>
      </c>
      <c r="E54" s="10">
        <v>9734184</v>
      </c>
      <c r="F54" s="10">
        <v>39428</v>
      </c>
      <c r="G54" s="10">
        <v>100686</v>
      </c>
      <c r="H54" s="10">
        <v>2699422</v>
      </c>
      <c r="I54" s="10">
        <v>104626</v>
      </c>
      <c r="J54" s="10">
        <v>0</v>
      </c>
      <c r="K54" s="10">
        <v>3834411</v>
      </c>
      <c r="L54" s="10">
        <f t="shared" si="0"/>
        <v>18891577</v>
      </c>
    </row>
    <row r="55" spans="1:12" x14ac:dyDescent="0.35">
      <c r="A55" s="7">
        <v>41791</v>
      </c>
      <c r="B55" s="11">
        <v>1085075</v>
      </c>
      <c r="C55" s="9">
        <v>897901</v>
      </c>
      <c r="D55" s="10">
        <v>250772</v>
      </c>
      <c r="E55" s="10">
        <v>12570629</v>
      </c>
      <c r="F55" s="10">
        <v>81230</v>
      </c>
      <c r="G55" s="10">
        <v>62297</v>
      </c>
      <c r="H55" s="10">
        <v>2973531</v>
      </c>
      <c r="I55" s="10">
        <v>37308</v>
      </c>
      <c r="J55" s="10">
        <v>0</v>
      </c>
      <c r="K55" s="10">
        <v>3302658</v>
      </c>
      <c r="L55" s="10">
        <f t="shared" si="0"/>
        <v>21261401</v>
      </c>
    </row>
    <row r="56" spans="1:12" x14ac:dyDescent="0.35">
      <c r="A56" s="7">
        <v>41821</v>
      </c>
      <c r="B56" s="11">
        <v>1200252</v>
      </c>
      <c r="C56" s="9">
        <v>848358</v>
      </c>
      <c r="D56" s="10">
        <v>272658</v>
      </c>
      <c r="E56" s="10">
        <v>9865918</v>
      </c>
      <c r="F56" s="10">
        <v>119665</v>
      </c>
      <c r="G56" s="10">
        <v>79404</v>
      </c>
      <c r="H56" s="10">
        <v>2697333</v>
      </c>
      <c r="I56" s="10">
        <v>163425</v>
      </c>
      <c r="J56" s="10">
        <v>0</v>
      </c>
      <c r="K56" s="10">
        <v>4127392</v>
      </c>
      <c r="L56" s="10">
        <f t="shared" si="0"/>
        <v>19374405</v>
      </c>
    </row>
    <row r="57" spans="1:12" x14ac:dyDescent="0.35">
      <c r="A57" s="7">
        <v>41852</v>
      </c>
      <c r="B57" s="11">
        <v>1058160</v>
      </c>
      <c r="C57" s="9">
        <v>827369</v>
      </c>
      <c r="D57" s="10">
        <v>247244</v>
      </c>
      <c r="E57" s="10">
        <v>10517445</v>
      </c>
      <c r="F57" s="10">
        <v>110635</v>
      </c>
      <c r="G57" s="10">
        <v>54047</v>
      </c>
      <c r="H57" s="10">
        <v>2711963</v>
      </c>
      <c r="I57" s="10">
        <v>120063</v>
      </c>
      <c r="J57" s="10">
        <v>0</v>
      </c>
      <c r="K57" s="10">
        <v>4534736</v>
      </c>
      <c r="L57" s="10">
        <f t="shared" si="0"/>
        <v>20181662</v>
      </c>
    </row>
    <row r="58" spans="1:12" x14ac:dyDescent="0.35">
      <c r="A58" s="7">
        <v>41883</v>
      </c>
      <c r="B58" s="11">
        <v>1279964</v>
      </c>
      <c r="C58" s="9">
        <v>1439016</v>
      </c>
      <c r="D58" s="10">
        <v>234831</v>
      </c>
      <c r="E58" s="10">
        <v>12885403</v>
      </c>
      <c r="F58" s="10">
        <v>382343</v>
      </c>
      <c r="G58" s="10">
        <v>93695</v>
      </c>
      <c r="H58" s="10">
        <v>2270248</v>
      </c>
      <c r="I58" s="10">
        <v>124973</v>
      </c>
      <c r="J58" s="10">
        <v>0</v>
      </c>
      <c r="K58" s="10">
        <v>4131504</v>
      </c>
      <c r="L58" s="10">
        <f t="shared" si="0"/>
        <v>22841977</v>
      </c>
    </row>
    <row r="59" spans="1:12" x14ac:dyDescent="0.35">
      <c r="A59" s="7">
        <v>41913</v>
      </c>
      <c r="B59" s="11">
        <v>1054957</v>
      </c>
      <c r="C59" s="9">
        <v>960711</v>
      </c>
      <c r="D59" s="10">
        <v>282165</v>
      </c>
      <c r="E59" s="10">
        <v>9389812</v>
      </c>
      <c r="F59" s="10">
        <v>95016</v>
      </c>
      <c r="G59" s="10">
        <v>68726</v>
      </c>
      <c r="H59" s="10">
        <v>2360983</v>
      </c>
      <c r="I59" s="10">
        <v>31265</v>
      </c>
      <c r="J59" s="10">
        <v>0</v>
      </c>
      <c r="K59" s="10">
        <v>4201723</v>
      </c>
      <c r="L59" s="10">
        <f t="shared" si="0"/>
        <v>18445358</v>
      </c>
    </row>
    <row r="60" spans="1:12" x14ac:dyDescent="0.35">
      <c r="A60" s="7">
        <v>41944</v>
      </c>
      <c r="B60" s="11">
        <v>1174887</v>
      </c>
      <c r="C60" s="9">
        <v>768673</v>
      </c>
      <c r="D60" s="10">
        <v>224104</v>
      </c>
      <c r="E60" s="10">
        <v>10764342</v>
      </c>
      <c r="F60" s="10">
        <v>79071</v>
      </c>
      <c r="G60" s="10">
        <v>56176</v>
      </c>
      <c r="H60" s="10">
        <v>1826530</v>
      </c>
      <c r="I60" s="10">
        <v>172750</v>
      </c>
      <c r="J60" s="10">
        <v>0</v>
      </c>
      <c r="K60" s="10">
        <v>4641770</v>
      </c>
      <c r="L60" s="10">
        <f t="shared" si="0"/>
        <v>19708303</v>
      </c>
    </row>
    <row r="61" spans="1:12" x14ac:dyDescent="0.35">
      <c r="A61" s="7">
        <v>41974</v>
      </c>
      <c r="B61" s="11">
        <v>1390200</v>
      </c>
      <c r="C61" s="9">
        <v>937850</v>
      </c>
      <c r="D61" s="10">
        <v>280958</v>
      </c>
      <c r="E61" s="10">
        <v>16013002</v>
      </c>
      <c r="F61" s="10">
        <v>388845</v>
      </c>
      <c r="G61" s="10">
        <v>36073</v>
      </c>
      <c r="H61" s="10">
        <v>3090870</v>
      </c>
      <c r="I61" s="10">
        <v>41443</v>
      </c>
      <c r="J61" s="10">
        <v>0</v>
      </c>
      <c r="K61" s="10">
        <v>4289848</v>
      </c>
      <c r="L61" s="10">
        <f t="shared" si="0"/>
        <v>26469089</v>
      </c>
    </row>
    <row r="62" spans="1:12" x14ac:dyDescent="0.35">
      <c r="A62" s="7">
        <v>42005</v>
      </c>
      <c r="B62" s="11">
        <v>1125348</v>
      </c>
      <c r="C62" s="9">
        <v>684345</v>
      </c>
      <c r="D62" s="10">
        <v>247193</v>
      </c>
      <c r="E62" s="10">
        <v>9632871</v>
      </c>
      <c r="F62" s="10">
        <v>154971</v>
      </c>
      <c r="G62" s="10">
        <v>64617</v>
      </c>
      <c r="H62" s="10">
        <v>4792212</v>
      </c>
      <c r="I62" s="10">
        <v>144895</v>
      </c>
      <c r="J62" s="10">
        <v>0</v>
      </c>
      <c r="K62" s="10">
        <v>3880338</v>
      </c>
      <c r="L62" s="10">
        <f t="shared" si="0"/>
        <v>20726790</v>
      </c>
    </row>
    <row r="63" spans="1:12" x14ac:dyDescent="0.35">
      <c r="A63" s="7">
        <v>42036</v>
      </c>
      <c r="B63" s="11">
        <v>1155441</v>
      </c>
      <c r="C63" s="9">
        <v>712488</v>
      </c>
      <c r="D63" s="10">
        <v>299892</v>
      </c>
      <c r="E63" s="10">
        <v>8873262</v>
      </c>
      <c r="F63" s="10">
        <v>126284</v>
      </c>
      <c r="G63" s="10">
        <v>48389</v>
      </c>
      <c r="H63" s="10">
        <v>2702849</v>
      </c>
      <c r="I63" s="10">
        <v>114767</v>
      </c>
      <c r="J63" s="10">
        <v>0</v>
      </c>
      <c r="K63" s="10">
        <v>3626499</v>
      </c>
      <c r="L63" s="10">
        <f t="shared" si="0"/>
        <v>17659871</v>
      </c>
    </row>
    <row r="64" spans="1:12" x14ac:dyDescent="0.35">
      <c r="A64" s="7">
        <v>42064</v>
      </c>
      <c r="B64" s="11">
        <v>1375364</v>
      </c>
      <c r="C64" s="9">
        <v>678432</v>
      </c>
      <c r="D64" s="10">
        <v>273820</v>
      </c>
      <c r="E64" s="10">
        <v>14046279</v>
      </c>
      <c r="F64" s="10">
        <v>227242</v>
      </c>
      <c r="G64" s="10">
        <v>56488</v>
      </c>
      <c r="H64" s="10">
        <v>3310333</v>
      </c>
      <c r="I64" s="10">
        <v>122591</v>
      </c>
      <c r="J64" s="10">
        <v>0</v>
      </c>
      <c r="K64" s="10">
        <v>4192675</v>
      </c>
      <c r="L64" s="10">
        <f t="shared" si="0"/>
        <v>24283224</v>
      </c>
    </row>
    <row r="65" spans="1:12" x14ac:dyDescent="0.35">
      <c r="A65" s="7">
        <v>42095</v>
      </c>
      <c r="B65" s="11">
        <v>1133242</v>
      </c>
      <c r="C65" s="9">
        <v>512575</v>
      </c>
      <c r="D65" s="10">
        <v>220059</v>
      </c>
      <c r="E65" s="10">
        <v>8428577</v>
      </c>
      <c r="F65" s="10">
        <v>186938</v>
      </c>
      <c r="G65" s="10">
        <v>91893</v>
      </c>
      <c r="H65" s="10">
        <v>4087956</v>
      </c>
      <c r="I65" s="10">
        <v>31757</v>
      </c>
      <c r="J65" s="10">
        <v>0</v>
      </c>
      <c r="K65" s="10">
        <v>3133995</v>
      </c>
      <c r="L65" s="10">
        <f t="shared" si="0"/>
        <v>17826992</v>
      </c>
    </row>
    <row r="66" spans="1:12" x14ac:dyDescent="0.35">
      <c r="A66" s="7">
        <v>42125</v>
      </c>
      <c r="B66" s="11">
        <v>1068099</v>
      </c>
      <c r="C66" s="9">
        <v>564133</v>
      </c>
      <c r="D66" s="10">
        <v>228940</v>
      </c>
      <c r="E66" s="10">
        <v>9264570</v>
      </c>
      <c r="F66" s="10">
        <v>195197</v>
      </c>
      <c r="G66" s="10">
        <v>63933</v>
      </c>
      <c r="H66" s="10">
        <v>2606344</v>
      </c>
      <c r="I66" s="10">
        <v>28277</v>
      </c>
      <c r="J66" s="10">
        <v>0</v>
      </c>
      <c r="K66" s="10">
        <v>3901081</v>
      </c>
      <c r="L66" s="10">
        <f t="shared" si="0"/>
        <v>17920574</v>
      </c>
    </row>
    <row r="67" spans="1:12" x14ac:dyDescent="0.35">
      <c r="A67" s="7">
        <v>42156</v>
      </c>
      <c r="B67" s="11">
        <v>1068439.9099999999</v>
      </c>
      <c r="C67" s="9">
        <v>647124.51</v>
      </c>
      <c r="D67" s="10">
        <v>276099.74</v>
      </c>
      <c r="E67" s="10">
        <v>11298475.640000001</v>
      </c>
      <c r="F67" s="10">
        <v>391182.13</v>
      </c>
      <c r="G67" s="10">
        <v>74136.039999999994</v>
      </c>
      <c r="H67" s="10">
        <v>3002460.68</v>
      </c>
      <c r="I67" s="10">
        <v>106443.02</v>
      </c>
      <c r="J67" s="10">
        <v>0</v>
      </c>
      <c r="K67" s="10">
        <v>3674888.71</v>
      </c>
      <c r="L67" s="10">
        <f t="shared" ref="L67:L79" si="1">SUM(B67:K67)</f>
        <v>20539250.380000003</v>
      </c>
    </row>
    <row r="68" spans="1:12" x14ac:dyDescent="0.35">
      <c r="A68" s="7">
        <v>42186</v>
      </c>
      <c r="B68" s="11">
        <v>1070683</v>
      </c>
      <c r="C68" s="9">
        <v>534446</v>
      </c>
      <c r="D68" s="10">
        <v>318951</v>
      </c>
      <c r="E68" s="10">
        <v>11938977</v>
      </c>
      <c r="F68" s="10">
        <v>170079</v>
      </c>
      <c r="G68" s="10">
        <v>78558</v>
      </c>
      <c r="H68" s="10">
        <v>3010772</v>
      </c>
      <c r="I68" s="10">
        <v>225030</v>
      </c>
      <c r="J68" s="10">
        <v>0</v>
      </c>
      <c r="K68" s="10">
        <v>4079574</v>
      </c>
      <c r="L68" s="10">
        <f t="shared" si="1"/>
        <v>21427070</v>
      </c>
    </row>
    <row r="69" spans="1:12" x14ac:dyDescent="0.35">
      <c r="A69" s="7">
        <v>42217</v>
      </c>
      <c r="B69" s="11">
        <v>1188439</v>
      </c>
      <c r="C69" s="9">
        <v>551790</v>
      </c>
      <c r="D69" s="10">
        <v>240870</v>
      </c>
      <c r="E69" s="10">
        <v>10046668</v>
      </c>
      <c r="F69" s="10">
        <v>117658</v>
      </c>
      <c r="G69" s="10">
        <v>75645</v>
      </c>
      <c r="H69" s="10">
        <v>2595937</v>
      </c>
      <c r="I69" s="10">
        <v>87660</v>
      </c>
      <c r="J69" s="10">
        <v>678</v>
      </c>
      <c r="K69" s="10">
        <v>4309277</v>
      </c>
      <c r="L69" s="10">
        <f t="shared" si="1"/>
        <v>19214622</v>
      </c>
    </row>
    <row r="70" spans="1:12" x14ac:dyDescent="0.35">
      <c r="A70" s="7">
        <v>42248</v>
      </c>
      <c r="B70" s="11">
        <v>1036541</v>
      </c>
      <c r="C70" s="9">
        <v>480458</v>
      </c>
      <c r="D70" s="10">
        <v>234486</v>
      </c>
      <c r="E70" s="10">
        <v>12456376</v>
      </c>
      <c r="F70" s="10">
        <v>109074</v>
      </c>
      <c r="G70" s="10">
        <v>68566</v>
      </c>
      <c r="H70" s="10">
        <v>2832580</v>
      </c>
      <c r="I70" s="10">
        <v>110554</v>
      </c>
      <c r="J70" s="10">
        <v>0</v>
      </c>
      <c r="K70" s="10">
        <v>3694153</v>
      </c>
      <c r="L70" s="10">
        <f t="shared" si="1"/>
        <v>21022788</v>
      </c>
    </row>
    <row r="71" spans="1:12" x14ac:dyDescent="0.35">
      <c r="A71" s="7">
        <v>42278</v>
      </c>
      <c r="B71" s="11">
        <v>1052483</v>
      </c>
      <c r="C71" s="9">
        <v>436430</v>
      </c>
      <c r="D71" s="10">
        <v>237719</v>
      </c>
      <c r="E71" s="10">
        <v>8006834</v>
      </c>
      <c r="F71" s="10">
        <v>351227</v>
      </c>
      <c r="G71" s="10">
        <v>56655</v>
      </c>
      <c r="H71" s="10">
        <v>3340034</v>
      </c>
      <c r="I71" s="10">
        <v>99302</v>
      </c>
      <c r="J71" s="10">
        <v>0</v>
      </c>
      <c r="K71" s="10">
        <v>3283958</v>
      </c>
      <c r="L71" s="10">
        <f t="shared" si="1"/>
        <v>16864642</v>
      </c>
    </row>
    <row r="72" spans="1:12" x14ac:dyDescent="0.35">
      <c r="A72" s="7">
        <v>42309</v>
      </c>
      <c r="B72" s="11">
        <v>978696</v>
      </c>
      <c r="C72" s="9">
        <v>428878</v>
      </c>
      <c r="D72" s="10">
        <v>233104</v>
      </c>
      <c r="E72" s="10">
        <v>8419913</v>
      </c>
      <c r="F72" s="10">
        <v>346573</v>
      </c>
      <c r="G72" s="10">
        <v>59996</v>
      </c>
      <c r="H72" s="10">
        <v>1897345</v>
      </c>
      <c r="I72" s="10">
        <v>81334</v>
      </c>
      <c r="J72" s="10">
        <v>0</v>
      </c>
      <c r="K72" s="10">
        <v>3402577</v>
      </c>
      <c r="L72" s="10">
        <f t="shared" si="1"/>
        <v>15848416</v>
      </c>
    </row>
    <row r="73" spans="1:12" x14ac:dyDescent="0.35">
      <c r="A73" s="7">
        <v>42339</v>
      </c>
      <c r="B73" s="11">
        <v>1245480.92</v>
      </c>
      <c r="C73" s="9">
        <v>787573.45</v>
      </c>
      <c r="D73" s="10">
        <v>249198.52</v>
      </c>
      <c r="E73" s="10">
        <v>18397355.260000002</v>
      </c>
      <c r="F73" s="10">
        <v>805924.46</v>
      </c>
      <c r="G73" s="10">
        <v>44325.93</v>
      </c>
      <c r="H73" s="10">
        <v>2688055.42</v>
      </c>
      <c r="I73" s="10">
        <v>114712.23</v>
      </c>
      <c r="J73" s="10">
        <v>0</v>
      </c>
      <c r="K73" s="10">
        <v>4689676.28</v>
      </c>
      <c r="L73" s="10">
        <f t="shared" si="1"/>
        <v>29022302.470000003</v>
      </c>
    </row>
    <row r="74" spans="1:12" x14ac:dyDescent="0.35">
      <c r="A74" s="7">
        <v>42370</v>
      </c>
      <c r="B74" s="11">
        <v>868068</v>
      </c>
      <c r="C74" s="9">
        <v>937401</v>
      </c>
      <c r="D74" s="10">
        <v>191134</v>
      </c>
      <c r="E74" s="10">
        <v>11257107</v>
      </c>
      <c r="F74" s="10">
        <v>408735</v>
      </c>
      <c r="G74" s="10">
        <v>79012</v>
      </c>
      <c r="H74" s="10">
        <v>2807857</v>
      </c>
      <c r="I74" s="10">
        <v>88794</v>
      </c>
      <c r="J74" s="10">
        <v>0</v>
      </c>
      <c r="K74" s="10">
        <v>2894678</v>
      </c>
      <c r="L74" s="10">
        <f t="shared" si="1"/>
        <v>19532786</v>
      </c>
    </row>
    <row r="75" spans="1:12" x14ac:dyDescent="0.35">
      <c r="A75" s="7">
        <v>42401</v>
      </c>
      <c r="B75" s="11">
        <v>1038220.17</v>
      </c>
      <c r="C75" s="9">
        <v>475950.97</v>
      </c>
      <c r="D75" s="10">
        <v>207498.25</v>
      </c>
      <c r="E75" s="10">
        <v>8465075.5500000007</v>
      </c>
      <c r="F75" s="10">
        <v>213553.57</v>
      </c>
      <c r="G75" s="10">
        <v>36700.239999999998</v>
      </c>
      <c r="H75" s="10">
        <v>2698438.01</v>
      </c>
      <c r="I75" s="10">
        <v>109174.08</v>
      </c>
      <c r="J75" s="10"/>
      <c r="K75" s="10">
        <v>3165799.46</v>
      </c>
      <c r="L75" s="10">
        <f t="shared" si="1"/>
        <v>16410410.300000001</v>
      </c>
    </row>
    <row r="76" spans="1:12" x14ac:dyDescent="0.35">
      <c r="A76" s="7">
        <v>42430</v>
      </c>
      <c r="B76" s="11">
        <v>1026323.82</v>
      </c>
      <c r="C76" s="9">
        <v>562468.04</v>
      </c>
      <c r="D76" s="10">
        <v>204506.42</v>
      </c>
      <c r="E76" s="10">
        <v>13212434.66</v>
      </c>
      <c r="F76" s="10">
        <v>242200.24</v>
      </c>
      <c r="G76" s="10">
        <v>59628.52</v>
      </c>
      <c r="H76" s="10">
        <v>2588109.89</v>
      </c>
      <c r="I76" s="10">
        <v>115245.03</v>
      </c>
      <c r="J76" s="10"/>
      <c r="K76" s="10">
        <v>3130191.75</v>
      </c>
      <c r="L76" s="10">
        <f t="shared" si="1"/>
        <v>21141108.370000001</v>
      </c>
    </row>
    <row r="77" spans="1:12" x14ac:dyDescent="0.35">
      <c r="A77" s="7">
        <v>42461</v>
      </c>
      <c r="B77" s="11">
        <v>925784</v>
      </c>
      <c r="C77" s="9">
        <v>431615</v>
      </c>
      <c r="D77" s="10">
        <v>208983</v>
      </c>
      <c r="E77" s="10">
        <v>8899941</v>
      </c>
      <c r="F77" s="10">
        <v>197596</v>
      </c>
      <c r="G77" s="10">
        <v>55177</v>
      </c>
      <c r="H77" s="10">
        <v>3282385</v>
      </c>
      <c r="I77" s="10">
        <v>93768</v>
      </c>
      <c r="J77" s="10"/>
      <c r="K77" s="10">
        <v>3133275</v>
      </c>
      <c r="L77" s="10">
        <f t="shared" si="1"/>
        <v>17228524</v>
      </c>
    </row>
    <row r="78" spans="1:12" x14ac:dyDescent="0.35">
      <c r="A78" s="7">
        <v>42491</v>
      </c>
      <c r="B78" s="11">
        <v>910543.96</v>
      </c>
      <c r="C78" s="9">
        <v>451127.62</v>
      </c>
      <c r="D78" s="10">
        <v>292873.18</v>
      </c>
      <c r="E78" s="10">
        <v>8015631.1200000001</v>
      </c>
      <c r="F78" s="10">
        <v>199776.29</v>
      </c>
      <c r="G78" s="10">
        <v>51141.26</v>
      </c>
      <c r="H78" s="10">
        <v>1693658.37</v>
      </c>
      <c r="I78" s="10">
        <v>108063.08</v>
      </c>
      <c r="J78" s="10"/>
      <c r="K78" s="10">
        <v>2902797.41</v>
      </c>
      <c r="L78" s="10">
        <f t="shared" si="1"/>
        <v>14625612.290000001</v>
      </c>
    </row>
    <row r="79" spans="1:12" x14ac:dyDescent="0.35">
      <c r="A79" s="7">
        <v>42522</v>
      </c>
      <c r="B79" s="11">
        <v>1016411.41</v>
      </c>
      <c r="C79" s="9">
        <v>948351.98</v>
      </c>
      <c r="D79" s="10">
        <v>107271.93</v>
      </c>
      <c r="E79" s="10">
        <v>10867753.49</v>
      </c>
      <c r="F79" s="10">
        <v>174881.78</v>
      </c>
      <c r="G79" s="10">
        <v>49212.58</v>
      </c>
      <c r="H79" s="10">
        <v>2073887.8</v>
      </c>
      <c r="I79" s="10">
        <v>118211.31</v>
      </c>
      <c r="J79" s="10"/>
      <c r="K79" s="10">
        <v>3285172.7</v>
      </c>
      <c r="L79" s="10">
        <f t="shared" si="1"/>
        <v>18641154.98</v>
      </c>
    </row>
    <row r="80" spans="1:12" x14ac:dyDescent="0.35">
      <c r="A80" s="7">
        <v>42552</v>
      </c>
      <c r="B80" s="11">
        <v>854251</v>
      </c>
      <c r="C80" s="9">
        <v>470952</v>
      </c>
      <c r="D80" s="10">
        <v>187932</v>
      </c>
      <c r="E80" s="10">
        <v>7906569</v>
      </c>
      <c r="F80" s="10">
        <v>125340</v>
      </c>
      <c r="G80" s="10">
        <v>35464</v>
      </c>
      <c r="H80" s="10">
        <v>1955426</v>
      </c>
      <c r="I80" s="10">
        <v>98207</v>
      </c>
      <c r="J80" s="10"/>
      <c r="K80" s="10">
        <v>3013655</v>
      </c>
      <c r="L80" s="10">
        <f>SUM(B80:K80)</f>
        <v>14647796</v>
      </c>
    </row>
    <row r="81" spans="1:12" x14ac:dyDescent="0.35">
      <c r="A81" s="7">
        <v>42583</v>
      </c>
      <c r="B81" s="11">
        <v>1028018</v>
      </c>
      <c r="C81" s="9">
        <v>456438</v>
      </c>
      <c r="D81" s="10">
        <v>221228</v>
      </c>
      <c r="E81" s="10">
        <v>9623630</v>
      </c>
      <c r="F81" s="10">
        <v>216803</v>
      </c>
      <c r="G81" s="10">
        <v>63394</v>
      </c>
      <c r="H81" s="10">
        <v>2781907</v>
      </c>
      <c r="I81" s="10">
        <v>115045</v>
      </c>
      <c r="J81" s="10"/>
      <c r="K81" s="10">
        <v>3873777</v>
      </c>
      <c r="L81" s="10">
        <f>SUM(B81:K81)</f>
        <v>18380240</v>
      </c>
    </row>
    <row r="82" spans="1:12" x14ac:dyDescent="0.35">
      <c r="A82" s="7">
        <v>42614</v>
      </c>
      <c r="B82" s="11">
        <v>1122031.54</v>
      </c>
      <c r="C82" s="9">
        <v>584858.43999999994</v>
      </c>
      <c r="D82" s="10">
        <v>175769.72</v>
      </c>
      <c r="E82" s="10">
        <v>10556823.91</v>
      </c>
      <c r="F82" s="10">
        <v>402993.5</v>
      </c>
      <c r="G82" s="10">
        <v>75472.39</v>
      </c>
      <c r="H82" s="10">
        <v>2588072.11</v>
      </c>
      <c r="I82" s="10">
        <v>117241.27</v>
      </c>
      <c r="J82" s="10"/>
      <c r="K82" s="10">
        <v>3629018.91</v>
      </c>
      <c r="L82" s="10">
        <f>SUM(B82:K82)</f>
        <v>19252281.789999999</v>
      </c>
    </row>
    <row r="83" spans="1:12" x14ac:dyDescent="0.35">
      <c r="A83" s="7">
        <v>42644</v>
      </c>
      <c r="B83" s="11">
        <v>1117149.43</v>
      </c>
      <c r="C83" s="9">
        <v>377574.16</v>
      </c>
      <c r="D83" s="10">
        <v>228528.76</v>
      </c>
      <c r="E83" s="10">
        <v>8513152.2100000009</v>
      </c>
      <c r="F83" s="10">
        <v>356653.14</v>
      </c>
      <c r="G83" s="10">
        <v>76080.47</v>
      </c>
      <c r="H83" s="10">
        <v>2619182.27</v>
      </c>
      <c r="I83" s="10">
        <v>109609.11</v>
      </c>
      <c r="J83" s="10"/>
      <c r="K83" s="10">
        <v>3810516.93</v>
      </c>
      <c r="L83" s="10">
        <f t="shared" ref="L83:L84" si="2">SUM(B83:K83)</f>
        <v>17208446.48</v>
      </c>
    </row>
    <row r="84" spans="1:12" x14ac:dyDescent="0.35">
      <c r="A84" s="7">
        <v>42675</v>
      </c>
      <c r="B84" s="11">
        <v>1256467</v>
      </c>
      <c r="C84" s="9">
        <v>425165</v>
      </c>
      <c r="D84" s="10">
        <v>204091</v>
      </c>
      <c r="E84" s="10">
        <v>8664639</v>
      </c>
      <c r="F84" s="10">
        <v>202893</v>
      </c>
      <c r="G84" s="10">
        <v>42734</v>
      </c>
      <c r="H84" s="10">
        <v>2629215</v>
      </c>
      <c r="I84" s="10">
        <v>100794</v>
      </c>
      <c r="J84" s="10"/>
      <c r="K84" s="10">
        <v>3965575</v>
      </c>
      <c r="L84" s="10">
        <f t="shared" si="2"/>
        <v>17491573</v>
      </c>
    </row>
    <row r="85" spans="1:12" x14ac:dyDescent="0.35">
      <c r="A85" s="7">
        <v>42705</v>
      </c>
      <c r="B85" s="11">
        <v>1903841.24</v>
      </c>
      <c r="C85" s="9">
        <v>535644</v>
      </c>
      <c r="D85" s="10">
        <v>240101.75</v>
      </c>
      <c r="E85" s="10">
        <v>13586044.939999999</v>
      </c>
      <c r="F85" s="10">
        <v>332351.88</v>
      </c>
      <c r="G85" s="10">
        <v>51777.7</v>
      </c>
      <c r="H85" s="10">
        <v>3348741.52</v>
      </c>
      <c r="I85" s="10">
        <v>111931.91</v>
      </c>
      <c r="J85" s="10"/>
      <c r="K85" s="10">
        <v>4567683.17</v>
      </c>
      <c r="L85" s="10">
        <f>SUM(B85:K85)</f>
        <v>24678118.109999999</v>
      </c>
    </row>
    <row r="86" spans="1:12" x14ac:dyDescent="0.35">
      <c r="A86" s="7">
        <v>42736</v>
      </c>
      <c r="B86" s="11">
        <v>906539.98</v>
      </c>
      <c r="C86" s="9">
        <v>401896.77</v>
      </c>
      <c r="D86" s="10">
        <v>223882.8</v>
      </c>
      <c r="E86" s="10">
        <v>9182955.4000000004</v>
      </c>
      <c r="F86" s="10">
        <v>442860.14</v>
      </c>
      <c r="G86" s="10">
        <v>32197.56</v>
      </c>
      <c r="H86" s="10">
        <v>2659949.54</v>
      </c>
      <c r="I86" s="10">
        <v>94490.18</v>
      </c>
      <c r="J86" s="10"/>
      <c r="K86" s="10">
        <v>3460894.84</v>
      </c>
      <c r="L86" s="10">
        <f t="shared" ref="L86:L109" si="3">SUM(B86:K86)</f>
        <v>17405667.210000001</v>
      </c>
    </row>
    <row r="87" spans="1:12" x14ac:dyDescent="0.35">
      <c r="A87" s="7">
        <v>42767</v>
      </c>
      <c r="B87" s="11">
        <v>972037.01</v>
      </c>
      <c r="C87" s="9">
        <v>561548.91</v>
      </c>
      <c r="D87" s="10">
        <v>199495.84</v>
      </c>
      <c r="E87" s="10">
        <v>8642542.7899999991</v>
      </c>
      <c r="F87" s="10">
        <v>144619.20000000001</v>
      </c>
      <c r="G87" s="10">
        <v>47109.74</v>
      </c>
      <c r="H87" s="10">
        <v>1760335.32</v>
      </c>
      <c r="I87" s="10">
        <v>93806.23</v>
      </c>
      <c r="J87" s="10"/>
      <c r="K87" s="10">
        <v>3284291.91</v>
      </c>
      <c r="L87" s="10">
        <f t="shared" si="3"/>
        <v>15705786.949999999</v>
      </c>
    </row>
    <row r="88" spans="1:12" x14ac:dyDescent="0.35">
      <c r="A88" s="7">
        <v>42795</v>
      </c>
      <c r="B88" s="11">
        <v>1424323.1</v>
      </c>
      <c r="C88" s="9">
        <v>684911.14</v>
      </c>
      <c r="D88" s="10">
        <v>237509.91</v>
      </c>
      <c r="E88" s="10">
        <v>14058105.439999999</v>
      </c>
      <c r="F88" s="10">
        <v>770585.18</v>
      </c>
      <c r="G88" s="10">
        <v>47698.45</v>
      </c>
      <c r="H88" s="10">
        <v>3231956.93</v>
      </c>
      <c r="I88" s="10">
        <v>139337.9</v>
      </c>
      <c r="J88" s="10"/>
      <c r="K88" s="10">
        <v>3646366.26</v>
      </c>
      <c r="L88" s="10">
        <f t="shared" si="3"/>
        <v>24240794.309999995</v>
      </c>
    </row>
    <row r="89" spans="1:12" x14ac:dyDescent="0.35">
      <c r="A89" s="7">
        <v>42826</v>
      </c>
      <c r="B89" s="11">
        <v>1044327.37</v>
      </c>
      <c r="C89" s="9">
        <v>512214.15</v>
      </c>
      <c r="D89" s="10">
        <v>216585.33</v>
      </c>
      <c r="E89" s="10">
        <v>8196679.8300000001</v>
      </c>
      <c r="F89" s="10">
        <v>366279.04</v>
      </c>
      <c r="G89" s="10">
        <v>60293.47</v>
      </c>
      <c r="H89" s="10">
        <v>2050272.2</v>
      </c>
      <c r="I89" s="10">
        <v>109222.3</v>
      </c>
      <c r="J89" s="10"/>
      <c r="K89" s="10">
        <v>3221450.28</v>
      </c>
      <c r="L89" s="10">
        <f t="shared" si="3"/>
        <v>15777323.969999999</v>
      </c>
    </row>
    <row r="90" spans="1:12" x14ac:dyDescent="0.35">
      <c r="A90" s="7">
        <v>42856</v>
      </c>
      <c r="B90" s="11">
        <v>1244681.2</v>
      </c>
      <c r="C90" s="9">
        <v>517302.93</v>
      </c>
      <c r="D90" s="10">
        <v>253474.24</v>
      </c>
      <c r="E90" s="10">
        <v>8696325.8800000008</v>
      </c>
      <c r="F90" s="10">
        <v>1092166.24</v>
      </c>
      <c r="G90" s="10">
        <v>92111.97</v>
      </c>
      <c r="H90" s="10">
        <v>2483328.9900000002</v>
      </c>
      <c r="I90" s="10">
        <v>135134.89000000001</v>
      </c>
      <c r="J90" s="10"/>
      <c r="K90" s="10">
        <v>3225426.66</v>
      </c>
      <c r="L90" s="10">
        <f t="shared" si="3"/>
        <v>17739953</v>
      </c>
    </row>
    <row r="91" spans="1:12" x14ac:dyDescent="0.35">
      <c r="A91" s="7">
        <v>42887</v>
      </c>
      <c r="B91" s="11">
        <v>1387359</v>
      </c>
      <c r="C91" s="9">
        <v>541274</v>
      </c>
      <c r="D91" s="10">
        <v>208126</v>
      </c>
      <c r="E91" s="10">
        <v>10737216</v>
      </c>
      <c r="F91" s="10">
        <v>362617</v>
      </c>
      <c r="G91" s="10">
        <v>103874</v>
      </c>
      <c r="H91" s="10">
        <v>3166819</v>
      </c>
      <c r="I91" s="10">
        <v>108044</v>
      </c>
      <c r="J91" s="10"/>
      <c r="K91" s="10">
        <v>3042929</v>
      </c>
      <c r="L91" s="10">
        <f t="shared" si="3"/>
        <v>19658258</v>
      </c>
    </row>
    <row r="92" spans="1:12" x14ac:dyDescent="0.35">
      <c r="A92" s="7">
        <v>42917</v>
      </c>
      <c r="B92" s="11">
        <v>1188271</v>
      </c>
      <c r="C92" s="9">
        <v>414304</v>
      </c>
      <c r="D92" s="10">
        <v>207261</v>
      </c>
      <c r="E92" s="10">
        <v>9185261</v>
      </c>
      <c r="F92" s="10">
        <v>308220</v>
      </c>
      <c r="G92" s="10">
        <v>119015</v>
      </c>
      <c r="H92" s="10">
        <v>2767458</v>
      </c>
      <c r="I92" s="10">
        <v>310121</v>
      </c>
      <c r="J92" s="10"/>
      <c r="K92" s="10">
        <v>2978314</v>
      </c>
      <c r="L92" s="10">
        <f t="shared" si="3"/>
        <v>17478225</v>
      </c>
    </row>
    <row r="93" spans="1:12" x14ac:dyDescent="0.35">
      <c r="A93" s="7">
        <v>42948</v>
      </c>
      <c r="B93" s="11">
        <v>1175904</v>
      </c>
      <c r="C93" s="9">
        <v>461011</v>
      </c>
      <c r="D93" s="10">
        <v>210013</v>
      </c>
      <c r="E93" s="10">
        <v>9667874</v>
      </c>
      <c r="F93" s="10">
        <v>1283586</v>
      </c>
      <c r="G93" s="10">
        <v>87989</v>
      </c>
      <c r="H93" s="10">
        <v>3366611</v>
      </c>
      <c r="I93" s="10">
        <v>129070</v>
      </c>
      <c r="J93" s="10"/>
      <c r="K93" s="10">
        <v>3202439</v>
      </c>
      <c r="L93" s="10">
        <f t="shared" si="3"/>
        <v>19584497</v>
      </c>
    </row>
    <row r="94" spans="1:12" x14ac:dyDescent="0.35">
      <c r="A94" s="7">
        <v>42979</v>
      </c>
      <c r="B94" s="11">
        <v>1229351</v>
      </c>
      <c r="C94" s="9">
        <v>439063</v>
      </c>
      <c r="D94" s="10">
        <v>206814</v>
      </c>
      <c r="E94" s="10">
        <v>9042054</v>
      </c>
      <c r="F94" s="10">
        <v>1349423</v>
      </c>
      <c r="G94" s="10">
        <v>72905</v>
      </c>
      <c r="H94" s="10">
        <v>2526294</v>
      </c>
      <c r="I94" s="10">
        <v>63310</v>
      </c>
      <c r="J94" s="10"/>
      <c r="K94" s="10">
        <v>3077679</v>
      </c>
      <c r="L94" s="10">
        <f t="shared" si="3"/>
        <v>18006893</v>
      </c>
    </row>
    <row r="95" spans="1:12" x14ac:dyDescent="0.35">
      <c r="A95" s="7">
        <v>43009</v>
      </c>
      <c r="B95" s="11">
        <v>947545</v>
      </c>
      <c r="C95" s="9">
        <v>425362</v>
      </c>
      <c r="D95" s="10">
        <v>236103</v>
      </c>
      <c r="E95" s="10">
        <v>10072853</v>
      </c>
      <c r="F95" s="10">
        <v>1308028</v>
      </c>
      <c r="G95" s="10">
        <v>139083</v>
      </c>
      <c r="H95" s="10">
        <v>2463427</v>
      </c>
      <c r="I95" s="10">
        <v>119655</v>
      </c>
      <c r="J95" s="10"/>
      <c r="K95" s="10">
        <v>2717263</v>
      </c>
      <c r="L95" s="10">
        <f t="shared" si="3"/>
        <v>18429319</v>
      </c>
    </row>
    <row r="96" spans="1:12" x14ac:dyDescent="0.35">
      <c r="A96" s="7">
        <v>43040</v>
      </c>
      <c r="B96" s="11">
        <v>874632</v>
      </c>
      <c r="C96" s="9">
        <v>462016</v>
      </c>
      <c r="D96" s="10">
        <v>206772</v>
      </c>
      <c r="E96" s="10">
        <v>11004476</v>
      </c>
      <c r="F96" s="10">
        <v>1369794</v>
      </c>
      <c r="G96" s="10">
        <v>46138</v>
      </c>
      <c r="H96" s="10">
        <v>2653336</v>
      </c>
      <c r="I96" s="10">
        <v>118685</v>
      </c>
      <c r="J96" s="10"/>
      <c r="K96" s="10">
        <v>3262386</v>
      </c>
      <c r="L96" s="10">
        <f t="shared" si="3"/>
        <v>19998235</v>
      </c>
    </row>
    <row r="97" spans="1:12" x14ac:dyDescent="0.35">
      <c r="A97" s="7">
        <v>43070</v>
      </c>
      <c r="B97" s="11">
        <v>927623.4</v>
      </c>
      <c r="C97" s="9">
        <v>623808.04</v>
      </c>
      <c r="D97" s="10">
        <v>230902.02</v>
      </c>
      <c r="E97" s="10">
        <v>11099474.1</v>
      </c>
      <c r="F97" s="10">
        <v>1115725.71</v>
      </c>
      <c r="G97" s="10">
        <v>51797.25</v>
      </c>
      <c r="H97" s="10">
        <v>4629975.0199999996</v>
      </c>
      <c r="I97" s="10">
        <v>55604.54</v>
      </c>
      <c r="J97" s="10"/>
      <c r="K97" s="10">
        <v>3641317.86</v>
      </c>
      <c r="L97" s="10">
        <f t="shared" si="3"/>
        <v>22376227.939999998</v>
      </c>
    </row>
    <row r="98" spans="1:12" x14ac:dyDescent="0.35">
      <c r="A98" s="7">
        <v>43101</v>
      </c>
      <c r="B98" s="11">
        <v>715305.12</v>
      </c>
      <c r="C98" s="9">
        <v>683576.1</v>
      </c>
      <c r="D98" s="10">
        <v>228088.5</v>
      </c>
      <c r="E98" s="10">
        <v>10770040.48</v>
      </c>
      <c r="F98" s="10">
        <v>1092561.73</v>
      </c>
      <c r="G98" s="10">
        <v>56289.57</v>
      </c>
      <c r="H98" s="10">
        <v>2676128.1</v>
      </c>
      <c r="I98" s="10">
        <v>112543.44</v>
      </c>
      <c r="J98" s="10"/>
      <c r="K98" s="10">
        <v>2460401.25</v>
      </c>
      <c r="L98" s="10">
        <f t="shared" si="3"/>
        <v>18794934.289999999</v>
      </c>
    </row>
    <row r="99" spans="1:12" x14ac:dyDescent="0.35">
      <c r="A99" s="7">
        <v>43132</v>
      </c>
      <c r="B99" s="11">
        <v>967312.5</v>
      </c>
      <c r="C99" s="9">
        <v>675061.04</v>
      </c>
      <c r="D99" s="10">
        <v>184086.61</v>
      </c>
      <c r="E99" s="10">
        <v>8805748.5099999998</v>
      </c>
      <c r="F99" s="10">
        <v>1259490.46</v>
      </c>
      <c r="G99" s="10">
        <v>47723.3</v>
      </c>
      <c r="H99" s="10">
        <v>2465017.36</v>
      </c>
      <c r="I99" s="10">
        <v>115171.16</v>
      </c>
      <c r="J99" s="10"/>
      <c r="K99" s="10">
        <v>3090546.75</v>
      </c>
      <c r="L99" s="10">
        <f t="shared" si="3"/>
        <v>17610157.690000001</v>
      </c>
    </row>
    <row r="100" spans="1:12" x14ac:dyDescent="0.35">
      <c r="A100" s="7">
        <v>43160</v>
      </c>
      <c r="B100" s="11">
        <v>1325641.8999999999</v>
      </c>
      <c r="C100" s="9">
        <v>881181.73</v>
      </c>
      <c r="D100" s="10">
        <v>225577.92</v>
      </c>
      <c r="E100" s="10">
        <v>11691942.039999999</v>
      </c>
      <c r="F100" s="10">
        <v>1525435.03</v>
      </c>
      <c r="G100" s="10">
        <v>146313.70000000001</v>
      </c>
      <c r="H100" s="10">
        <v>3015858.33</v>
      </c>
      <c r="I100" s="10">
        <v>131187.88</v>
      </c>
      <c r="J100" s="10"/>
      <c r="K100" s="10">
        <v>3174409.35</v>
      </c>
      <c r="L100" s="10">
        <f t="shared" si="3"/>
        <v>22117547.879999999</v>
      </c>
    </row>
    <row r="101" spans="1:12" x14ac:dyDescent="0.35">
      <c r="A101" s="7">
        <v>43191</v>
      </c>
      <c r="B101" s="11">
        <v>926223.6</v>
      </c>
      <c r="C101" s="9">
        <v>572964.82999999996</v>
      </c>
      <c r="D101" s="10">
        <v>216982.83</v>
      </c>
      <c r="E101" s="10">
        <v>9608028.0199999996</v>
      </c>
      <c r="F101" s="10">
        <v>1343595.42</v>
      </c>
      <c r="G101" s="10">
        <v>97515.65</v>
      </c>
      <c r="H101" s="10">
        <v>3106769.82</v>
      </c>
      <c r="I101" s="10">
        <v>120714.9</v>
      </c>
      <c r="J101" s="10"/>
      <c r="K101" s="10">
        <v>2814395.15</v>
      </c>
      <c r="L101" s="10">
        <f t="shared" si="3"/>
        <v>18807190.219999999</v>
      </c>
    </row>
    <row r="102" spans="1:12" x14ac:dyDescent="0.35">
      <c r="A102" s="7">
        <v>43221</v>
      </c>
      <c r="B102" s="11">
        <v>1048696.3</v>
      </c>
      <c r="C102" s="9">
        <v>663225.72</v>
      </c>
      <c r="D102" s="10">
        <v>231190.76</v>
      </c>
      <c r="E102" s="10">
        <v>11189787.869999999</v>
      </c>
      <c r="F102" s="10">
        <v>1481481.77</v>
      </c>
      <c r="G102" s="10">
        <v>68059.009999999995</v>
      </c>
      <c r="H102" s="10">
        <v>2645461.9500000002</v>
      </c>
      <c r="I102" s="10">
        <v>128915.11</v>
      </c>
      <c r="J102" s="10"/>
      <c r="K102" s="10">
        <v>2988179.99</v>
      </c>
      <c r="L102" s="10">
        <v>20444998.479999997</v>
      </c>
    </row>
    <row r="103" spans="1:12" x14ac:dyDescent="0.35">
      <c r="A103" s="7">
        <v>43252</v>
      </c>
      <c r="B103" s="11">
        <v>967849.76</v>
      </c>
      <c r="C103" s="9">
        <v>480376.9</v>
      </c>
      <c r="D103" s="10">
        <v>201593.89</v>
      </c>
      <c r="E103" s="10">
        <v>14125182.34</v>
      </c>
      <c r="F103" s="10">
        <v>1285904.9099999999</v>
      </c>
      <c r="G103" s="10">
        <v>50486.6</v>
      </c>
      <c r="H103" s="10">
        <v>3295739.97</v>
      </c>
      <c r="I103" s="10">
        <v>117712.4</v>
      </c>
      <c r="J103" s="10"/>
      <c r="K103" s="10">
        <v>2598376.33</v>
      </c>
      <c r="L103" s="10">
        <f t="shared" si="3"/>
        <v>23123223.100000001</v>
      </c>
    </row>
    <row r="104" spans="1:12" x14ac:dyDescent="0.35">
      <c r="A104" s="7">
        <v>43282</v>
      </c>
      <c r="B104" s="11">
        <v>860363.67</v>
      </c>
      <c r="C104" s="9">
        <v>518616.71</v>
      </c>
      <c r="D104" s="10">
        <v>218757.44</v>
      </c>
      <c r="E104" s="10">
        <v>10288368.49</v>
      </c>
      <c r="F104" s="10">
        <v>1345844.03</v>
      </c>
      <c r="G104" s="10">
        <v>72271.97</v>
      </c>
      <c r="H104" s="10">
        <v>2756967.31</v>
      </c>
      <c r="I104" s="10">
        <v>122137.75</v>
      </c>
      <c r="J104" s="10"/>
      <c r="K104" s="10">
        <v>1238608.73</v>
      </c>
      <c r="L104" s="10">
        <f t="shared" si="3"/>
        <v>17421936.100000001</v>
      </c>
    </row>
    <row r="105" spans="1:12" x14ac:dyDescent="0.35">
      <c r="A105" s="7">
        <v>43313</v>
      </c>
      <c r="B105" s="11">
        <v>1023152.23</v>
      </c>
      <c r="C105" s="9">
        <v>608667.03</v>
      </c>
      <c r="D105" s="10">
        <v>215829.37</v>
      </c>
      <c r="E105" s="10">
        <v>7888582.2000000002</v>
      </c>
      <c r="F105" s="10">
        <v>1228874.47</v>
      </c>
      <c r="G105" s="10">
        <v>150322.4</v>
      </c>
      <c r="H105" s="10">
        <v>3109219.41</v>
      </c>
      <c r="I105" s="10">
        <v>137155.23000000001</v>
      </c>
      <c r="J105" s="10"/>
      <c r="K105" s="10">
        <v>3495061.84</v>
      </c>
      <c r="L105" s="10">
        <v>17856864.18</v>
      </c>
    </row>
    <row r="106" spans="1:12" x14ac:dyDescent="0.35">
      <c r="A106" s="7">
        <v>43344</v>
      </c>
      <c r="B106" s="11">
        <v>850874.39</v>
      </c>
      <c r="C106" s="9">
        <v>513931.44</v>
      </c>
      <c r="D106" s="10">
        <v>212352.91</v>
      </c>
      <c r="E106" s="10">
        <v>9969093.4700000007</v>
      </c>
      <c r="F106" s="10">
        <v>1213352.29</v>
      </c>
      <c r="G106" s="10">
        <v>60554.46</v>
      </c>
      <c r="H106" s="10">
        <v>2912290.27</v>
      </c>
      <c r="I106" s="10">
        <v>283108.73</v>
      </c>
      <c r="J106" s="10"/>
      <c r="K106" s="10">
        <v>3024855.6</v>
      </c>
      <c r="L106" s="10">
        <f t="shared" si="3"/>
        <v>19040413.560000002</v>
      </c>
    </row>
    <row r="107" spans="1:12" x14ac:dyDescent="0.35">
      <c r="A107" s="7">
        <v>43374</v>
      </c>
      <c r="B107" s="11">
        <v>898045.19</v>
      </c>
      <c r="C107" s="9">
        <v>497305.28</v>
      </c>
      <c r="D107" s="10">
        <v>227542.74</v>
      </c>
      <c r="E107" s="10">
        <v>9140566.6899999995</v>
      </c>
      <c r="F107" s="10">
        <v>1387517.79</v>
      </c>
      <c r="G107" s="10">
        <v>70703.03</v>
      </c>
      <c r="H107" s="10">
        <v>3063910.33</v>
      </c>
      <c r="I107" s="10">
        <v>119578.04</v>
      </c>
      <c r="J107" s="10"/>
      <c r="K107" s="10">
        <v>2878517.35</v>
      </c>
      <c r="L107" s="10">
        <f t="shared" si="3"/>
        <v>18283686.439999998</v>
      </c>
    </row>
    <row r="108" spans="1:12" x14ac:dyDescent="0.35">
      <c r="A108" s="7">
        <v>43405</v>
      </c>
      <c r="B108" s="11">
        <v>971284.6</v>
      </c>
      <c r="C108" s="9">
        <v>533775.59</v>
      </c>
      <c r="D108" s="10">
        <v>222213.51</v>
      </c>
      <c r="E108" s="10">
        <v>10776401.32</v>
      </c>
      <c r="F108" s="10">
        <v>1389348.32</v>
      </c>
      <c r="G108" s="10">
        <v>82747.539999999994</v>
      </c>
      <c r="H108" s="10">
        <v>2893332.23</v>
      </c>
      <c r="I108" s="10">
        <v>105397.27</v>
      </c>
      <c r="J108" s="10"/>
      <c r="K108" s="10">
        <v>3611509.27</v>
      </c>
      <c r="L108" s="10">
        <f t="shared" si="3"/>
        <v>20586009.649999999</v>
      </c>
    </row>
    <row r="109" spans="1:12" ht="15" thickBot="1" x14ac:dyDescent="0.4">
      <c r="A109" s="55">
        <v>43435</v>
      </c>
      <c r="B109" s="67">
        <v>1666270.94</v>
      </c>
      <c r="C109" s="68">
        <v>685914.72</v>
      </c>
      <c r="D109" s="69">
        <v>208233.28</v>
      </c>
      <c r="E109" s="69">
        <v>12040956.279999999</v>
      </c>
      <c r="F109" s="69">
        <v>1165535.7</v>
      </c>
      <c r="G109" s="69">
        <v>64058</v>
      </c>
      <c r="H109" s="69">
        <v>4054494.5</v>
      </c>
      <c r="I109" s="69">
        <v>357561.4</v>
      </c>
      <c r="J109" s="69"/>
      <c r="K109" s="69">
        <v>3456062.53</v>
      </c>
      <c r="L109" s="69">
        <f t="shared" si="3"/>
        <v>23699087.349999998</v>
      </c>
    </row>
    <row r="110" spans="1:12" x14ac:dyDescent="0.35">
      <c r="A110" s="53">
        <v>43484</v>
      </c>
      <c r="B110" s="70">
        <v>779186.73</v>
      </c>
      <c r="C110" s="71">
        <v>492401.16</v>
      </c>
      <c r="D110" s="72">
        <v>243039.01</v>
      </c>
      <c r="E110" s="72">
        <v>9175251.2799999993</v>
      </c>
      <c r="F110" s="72">
        <v>1642042.92</v>
      </c>
      <c r="G110" s="72">
        <v>68521.759999999995</v>
      </c>
      <c r="H110" s="72">
        <v>4066437.57</v>
      </c>
      <c r="I110" s="72">
        <v>51071.72</v>
      </c>
      <c r="J110" s="72"/>
      <c r="K110" s="110">
        <v>3039068.72</v>
      </c>
      <c r="L110" s="70">
        <f>SUM(B110:K110)</f>
        <v>19557020.870000001</v>
      </c>
    </row>
    <row r="111" spans="1:12" x14ac:dyDescent="0.35">
      <c r="A111" s="7">
        <v>43515</v>
      </c>
      <c r="B111" s="11">
        <v>1128771.49</v>
      </c>
      <c r="C111" s="9">
        <v>538867.4</v>
      </c>
      <c r="D111" s="10">
        <v>218290.7</v>
      </c>
      <c r="E111" s="10">
        <v>8654131.3699999992</v>
      </c>
      <c r="F111" s="10">
        <v>1522390.61</v>
      </c>
      <c r="G111" s="10">
        <v>48189.14</v>
      </c>
      <c r="H111" s="10">
        <v>4098139.4</v>
      </c>
      <c r="I111" s="10">
        <v>166652.41</v>
      </c>
      <c r="J111" s="10"/>
      <c r="K111" s="108">
        <v>2873800.98</v>
      </c>
      <c r="L111" s="11">
        <v>19249233.5</v>
      </c>
    </row>
    <row r="112" spans="1:12" x14ac:dyDescent="0.35">
      <c r="A112" s="7">
        <v>43543</v>
      </c>
      <c r="B112" s="100">
        <v>1492170.53</v>
      </c>
      <c r="C112" s="100">
        <v>594484.23</v>
      </c>
      <c r="D112" s="100">
        <v>230203.62</v>
      </c>
      <c r="E112" s="100">
        <v>8714167</v>
      </c>
      <c r="F112" s="100">
        <v>1499859.72</v>
      </c>
      <c r="G112" s="100">
        <v>79623.75</v>
      </c>
      <c r="H112" s="100">
        <v>5967873.2400000002</v>
      </c>
      <c r="I112" s="100">
        <v>589848.12</v>
      </c>
      <c r="J112" s="100"/>
      <c r="K112" s="100">
        <v>3658975.29</v>
      </c>
      <c r="L112" s="100">
        <f t="shared" ref="L112" si="4">SUM(B112:K112)</f>
        <v>22827205.5</v>
      </c>
    </row>
    <row r="113" spans="1:12" x14ac:dyDescent="0.35">
      <c r="A113" s="7">
        <v>43574</v>
      </c>
      <c r="B113" s="100">
        <v>984039.22</v>
      </c>
      <c r="C113" s="100">
        <v>502185.28</v>
      </c>
      <c r="D113" s="100">
        <v>243515.6</v>
      </c>
      <c r="E113" s="100">
        <v>9170089.5</v>
      </c>
      <c r="F113" s="100">
        <v>1976747.08</v>
      </c>
      <c r="G113" s="100">
        <v>122085.77</v>
      </c>
      <c r="H113" s="100">
        <v>3992815.91</v>
      </c>
      <c r="I113" s="100">
        <v>130714.21</v>
      </c>
      <c r="J113" s="100"/>
      <c r="K113" s="100">
        <f>1214.97+3128214.01</f>
        <v>3129428.98</v>
      </c>
      <c r="L113" s="11">
        <f t="shared" ref="L113:L121" si="5">SUM(B113:K113)</f>
        <v>20251621.550000001</v>
      </c>
    </row>
    <row r="114" spans="1:12" x14ac:dyDescent="0.35">
      <c r="A114" s="7">
        <v>43604</v>
      </c>
      <c r="B114" s="11">
        <v>1079756.83</v>
      </c>
      <c r="C114" s="9">
        <v>604965.81999999995</v>
      </c>
      <c r="D114" s="10">
        <v>269680.53999999998</v>
      </c>
      <c r="E114" s="10">
        <v>8690571.1699999999</v>
      </c>
      <c r="F114" s="10">
        <v>1826782.87</v>
      </c>
      <c r="G114" s="10">
        <v>58367.27</v>
      </c>
      <c r="H114" s="10">
        <v>5130516.45</v>
      </c>
      <c r="I114" s="10">
        <v>140203.24</v>
      </c>
      <c r="J114" s="10"/>
      <c r="K114" s="108">
        <v>3420211.96</v>
      </c>
      <c r="L114" s="11">
        <f t="shared" si="5"/>
        <v>21221056.149999999</v>
      </c>
    </row>
    <row r="115" spans="1:12" x14ac:dyDescent="0.35">
      <c r="A115" s="7">
        <v>43635</v>
      </c>
      <c r="B115" s="11">
        <v>1161665.26</v>
      </c>
      <c r="C115" s="9">
        <v>625579.6</v>
      </c>
      <c r="D115" s="10">
        <v>249911.67</v>
      </c>
      <c r="E115" s="10">
        <v>10631224.58</v>
      </c>
      <c r="F115" s="10">
        <v>2097188.35</v>
      </c>
      <c r="G115" s="10">
        <v>120138.37</v>
      </c>
      <c r="H115" s="10">
        <v>8007131.6100000003</v>
      </c>
      <c r="I115" s="10">
        <v>999154.41</v>
      </c>
      <c r="J115" s="10"/>
      <c r="K115" s="108">
        <v>4092118.16</v>
      </c>
      <c r="L115" s="11">
        <f t="shared" si="5"/>
        <v>27984112.009999998</v>
      </c>
    </row>
    <row r="116" spans="1:12" x14ac:dyDescent="0.35">
      <c r="A116" s="7">
        <v>43665</v>
      </c>
      <c r="B116" s="11">
        <v>964266.69</v>
      </c>
      <c r="C116" s="9">
        <v>731557.28</v>
      </c>
      <c r="D116" s="10">
        <v>362057.59</v>
      </c>
      <c r="E116" s="10">
        <v>9281654.6099999994</v>
      </c>
      <c r="F116" s="10">
        <v>2082687</v>
      </c>
      <c r="G116" s="10">
        <v>123400.16</v>
      </c>
      <c r="H116" s="10">
        <v>7212951.79</v>
      </c>
      <c r="I116" s="10">
        <v>126910.25</v>
      </c>
      <c r="J116" s="10"/>
      <c r="K116" s="108">
        <v>3460846.44</v>
      </c>
      <c r="L116" s="11">
        <f t="shared" si="5"/>
        <v>24346331.810000002</v>
      </c>
    </row>
    <row r="117" spans="1:12" x14ac:dyDescent="0.35">
      <c r="A117" s="7">
        <v>43696</v>
      </c>
      <c r="B117" s="100">
        <v>1068687.29</v>
      </c>
      <c r="C117" s="100">
        <v>521093.16</v>
      </c>
      <c r="D117" s="100">
        <v>277801.45</v>
      </c>
      <c r="E117" s="100">
        <v>9999826.2699999996</v>
      </c>
      <c r="F117" s="100">
        <v>1945185.37</v>
      </c>
      <c r="G117" s="100">
        <v>45991.45</v>
      </c>
      <c r="H117" s="100">
        <v>4150268.81</v>
      </c>
      <c r="I117" s="100">
        <v>146773</v>
      </c>
      <c r="J117" s="100"/>
      <c r="K117" s="100">
        <v>4209159.3600000003</v>
      </c>
      <c r="L117" s="11">
        <f t="shared" si="5"/>
        <v>22364786.159999996</v>
      </c>
    </row>
    <row r="118" spans="1:12" x14ac:dyDescent="0.35">
      <c r="A118" s="7">
        <v>43727</v>
      </c>
      <c r="B118" s="11">
        <v>1226665.07</v>
      </c>
      <c r="C118" s="9">
        <v>682248</v>
      </c>
      <c r="D118" s="10">
        <v>246380.71</v>
      </c>
      <c r="E118" s="10">
        <v>11682145.300000001</v>
      </c>
      <c r="F118" s="10">
        <v>1834242.8</v>
      </c>
      <c r="G118" s="10">
        <v>59863.65</v>
      </c>
      <c r="H118" s="10">
        <v>6514257.6200000001</v>
      </c>
      <c r="I118" s="10">
        <v>471547.08</v>
      </c>
      <c r="J118" s="10"/>
      <c r="K118" s="108">
        <v>3868691.54</v>
      </c>
      <c r="L118" s="11">
        <f t="shared" si="5"/>
        <v>26586041.77</v>
      </c>
    </row>
    <row r="119" spans="1:12" x14ac:dyDescent="0.35">
      <c r="A119" s="7">
        <v>43757</v>
      </c>
      <c r="B119" s="11">
        <v>956380.68</v>
      </c>
      <c r="C119" s="9">
        <v>460696.4</v>
      </c>
      <c r="D119" s="10">
        <v>262389.21000000002</v>
      </c>
      <c r="E119" s="10">
        <v>9975851.5700000003</v>
      </c>
      <c r="F119" s="10">
        <v>1799981.11</v>
      </c>
      <c r="G119" s="10">
        <v>74840.850000000006</v>
      </c>
      <c r="H119" s="10">
        <v>5065130.33</v>
      </c>
      <c r="I119" s="10">
        <v>100627.45</v>
      </c>
      <c r="J119" s="10"/>
      <c r="K119" s="108">
        <v>2641454.41</v>
      </c>
      <c r="L119" s="11">
        <f t="shared" si="5"/>
        <v>21337352.009999998</v>
      </c>
    </row>
    <row r="120" spans="1:12" x14ac:dyDescent="0.35">
      <c r="A120" s="7">
        <v>43788</v>
      </c>
      <c r="B120" s="11">
        <v>1164541.6200000001</v>
      </c>
      <c r="C120" s="9">
        <v>489913.63</v>
      </c>
      <c r="D120" s="10">
        <v>225273.114</v>
      </c>
      <c r="E120" s="10">
        <v>13264981.550000001</v>
      </c>
      <c r="F120" s="10">
        <v>1838604.18</v>
      </c>
      <c r="G120" s="10">
        <v>56258.52</v>
      </c>
      <c r="H120" s="10">
        <v>5011224.3</v>
      </c>
      <c r="I120" s="10">
        <v>100737.81</v>
      </c>
      <c r="J120" s="10"/>
      <c r="K120" s="108">
        <v>3072366.35</v>
      </c>
      <c r="L120" s="11">
        <f t="shared" si="5"/>
        <v>25223901.074000001</v>
      </c>
    </row>
    <row r="121" spans="1:12" ht="15" thickBot="1" x14ac:dyDescent="0.4">
      <c r="A121" s="15">
        <v>43818</v>
      </c>
      <c r="B121" s="54">
        <v>1131571.1499999999</v>
      </c>
      <c r="C121" s="73">
        <v>544528.92000000004</v>
      </c>
      <c r="D121" s="74">
        <v>249884.5</v>
      </c>
      <c r="E121" s="74">
        <v>13326242.439999999</v>
      </c>
      <c r="F121" s="74">
        <v>1550584.52</v>
      </c>
      <c r="G121" s="74">
        <v>58022.23</v>
      </c>
      <c r="H121" s="74">
        <v>8873071.7699999996</v>
      </c>
      <c r="I121" s="74">
        <v>531527.28</v>
      </c>
      <c r="J121" s="74"/>
      <c r="K121" s="109">
        <v>3385925.57</v>
      </c>
      <c r="L121" s="54">
        <f t="shared" si="5"/>
        <v>29651358.380000003</v>
      </c>
    </row>
    <row r="122" spans="1:12" x14ac:dyDescent="0.35">
      <c r="A122" s="53">
        <v>43849</v>
      </c>
      <c r="B122" s="70">
        <v>1125525.3500000001</v>
      </c>
      <c r="C122" s="70">
        <v>500000.35</v>
      </c>
      <c r="D122" s="70">
        <v>257811.08</v>
      </c>
      <c r="E122" s="70">
        <v>11597727.060000001</v>
      </c>
      <c r="F122" s="70">
        <v>2122108.4300000002</v>
      </c>
      <c r="G122" s="70">
        <v>57253.34</v>
      </c>
      <c r="H122" s="70">
        <v>5612268.25</v>
      </c>
      <c r="I122" s="70">
        <v>42628.27</v>
      </c>
      <c r="J122" s="70"/>
      <c r="K122" s="70">
        <v>2732559.06</v>
      </c>
      <c r="L122" s="70">
        <f>SUM(B122:K122)</f>
        <v>24047881.189999998</v>
      </c>
    </row>
    <row r="123" spans="1:12" x14ac:dyDescent="0.35">
      <c r="A123" s="7">
        <v>43880</v>
      </c>
      <c r="B123" s="11">
        <v>986678.98</v>
      </c>
      <c r="C123" s="11">
        <v>389507.52</v>
      </c>
      <c r="D123" s="11">
        <v>236364.36</v>
      </c>
      <c r="E123" s="11">
        <v>9576881.2400000002</v>
      </c>
      <c r="F123" s="11">
        <v>2170998.2000000002</v>
      </c>
      <c r="G123" s="11">
        <v>59902.44</v>
      </c>
      <c r="H123" s="11">
        <v>4333668.12</v>
      </c>
      <c r="I123" s="11">
        <v>128520.85</v>
      </c>
      <c r="J123" s="11"/>
      <c r="K123" s="11">
        <v>2540979.4900000002</v>
      </c>
      <c r="L123" s="11">
        <f>SUM(B123:K123)</f>
        <v>20423501.200000003</v>
      </c>
    </row>
    <row r="124" spans="1:12" x14ac:dyDescent="0.35">
      <c r="A124" s="7">
        <v>43909</v>
      </c>
      <c r="B124" s="11">
        <v>1136171.5900000001</v>
      </c>
      <c r="C124" s="11">
        <v>536869.35</v>
      </c>
      <c r="D124" s="11">
        <v>264109.28000000003</v>
      </c>
      <c r="E124" s="11">
        <v>11059919.01</v>
      </c>
      <c r="F124" s="11">
        <v>759568.36</v>
      </c>
      <c r="G124" s="11">
        <v>119780.21</v>
      </c>
      <c r="H124" s="11">
        <v>4198266.66</v>
      </c>
      <c r="I124" s="11">
        <v>429797.39</v>
      </c>
      <c r="J124" s="11"/>
      <c r="K124" s="11">
        <v>2856767.27</v>
      </c>
      <c r="L124" s="11">
        <f t="shared" ref="L124" si="6">SUM(B124:K124)</f>
        <v>21361249.120000001</v>
      </c>
    </row>
    <row r="125" spans="1:12" x14ac:dyDescent="0.35">
      <c r="A125" s="7">
        <v>43940</v>
      </c>
      <c r="B125" s="11">
        <v>927750.49</v>
      </c>
      <c r="C125" s="11">
        <v>473315.08</v>
      </c>
      <c r="D125" s="11">
        <v>218581.08</v>
      </c>
      <c r="E125" s="11">
        <v>8383990.2400000002</v>
      </c>
      <c r="F125" s="11">
        <v>621713.66</v>
      </c>
      <c r="G125" s="11">
        <v>58692.27</v>
      </c>
      <c r="H125" s="11">
        <v>3298933.25</v>
      </c>
      <c r="I125" s="11">
        <v>83830.039999999994</v>
      </c>
      <c r="J125" s="11"/>
      <c r="K125" s="11">
        <v>1948396.84</v>
      </c>
      <c r="L125" s="11">
        <f t="shared" ref="L125:L132" si="7">SUM(B125:K125)</f>
        <v>16015202.949999999</v>
      </c>
    </row>
    <row r="126" spans="1:12" x14ac:dyDescent="0.35">
      <c r="A126" s="7">
        <v>43970</v>
      </c>
      <c r="B126" s="11">
        <v>1836238.02</v>
      </c>
      <c r="C126" s="11">
        <v>599096.1</v>
      </c>
      <c r="D126" s="11">
        <v>147019.21</v>
      </c>
      <c r="E126" s="11">
        <v>8348234.9100000001</v>
      </c>
      <c r="F126" s="11">
        <v>1466431.87</v>
      </c>
      <c r="G126" s="11">
        <v>85132.1</v>
      </c>
      <c r="H126" s="11">
        <v>3728991.67</v>
      </c>
      <c r="I126" s="11">
        <v>110763.1</v>
      </c>
      <c r="J126" s="11"/>
      <c r="K126" s="11">
        <v>3817740.1</v>
      </c>
      <c r="L126" s="11">
        <f t="shared" si="7"/>
        <v>20139647.079999998</v>
      </c>
    </row>
    <row r="127" spans="1:12" x14ac:dyDescent="0.35">
      <c r="A127" s="7">
        <v>44001</v>
      </c>
      <c r="B127" s="11">
        <v>1514481.17</v>
      </c>
      <c r="C127" s="11">
        <v>760689.68</v>
      </c>
      <c r="D127" s="11">
        <v>194476.65</v>
      </c>
      <c r="E127" s="11">
        <v>11646543.77</v>
      </c>
      <c r="F127" s="11">
        <v>1519078.69</v>
      </c>
      <c r="G127" s="11">
        <v>111590.63</v>
      </c>
      <c r="H127" s="11">
        <v>3702033.65</v>
      </c>
      <c r="I127" s="11">
        <v>439229.69</v>
      </c>
      <c r="J127" s="11"/>
      <c r="K127" s="11">
        <v>3520465.62</v>
      </c>
      <c r="L127" s="11">
        <f t="shared" si="7"/>
        <v>23408589.550000001</v>
      </c>
    </row>
    <row r="128" spans="1:12" x14ac:dyDescent="0.35">
      <c r="A128" s="7">
        <v>44031</v>
      </c>
      <c r="B128" s="11">
        <v>1361476.39</v>
      </c>
      <c r="C128" s="11">
        <v>651249.06999999995</v>
      </c>
      <c r="D128" s="11">
        <v>226832.97</v>
      </c>
      <c r="E128" s="11">
        <v>10080043.560000001</v>
      </c>
      <c r="F128" s="11">
        <v>1577196.3</v>
      </c>
      <c r="G128" s="11">
        <v>122003.83</v>
      </c>
      <c r="H128" s="11">
        <v>3532336.66</v>
      </c>
      <c r="I128" s="11">
        <v>140406.04</v>
      </c>
      <c r="J128" s="11"/>
      <c r="K128" s="11">
        <v>3510176.37</v>
      </c>
      <c r="L128" s="11">
        <f t="shared" si="7"/>
        <v>21201721.190000001</v>
      </c>
    </row>
    <row r="129" spans="1:12" x14ac:dyDescent="0.35">
      <c r="A129" s="7">
        <v>44062</v>
      </c>
      <c r="B129" s="11">
        <v>1271859.78</v>
      </c>
      <c r="C129" s="11">
        <v>1145686.75</v>
      </c>
      <c r="D129" s="11">
        <v>235764.94</v>
      </c>
      <c r="E129" s="11">
        <v>8631098.8000000007</v>
      </c>
      <c r="F129" s="11">
        <v>1816425.34</v>
      </c>
      <c r="G129" s="11">
        <v>97038.48</v>
      </c>
      <c r="H129" s="11">
        <v>4377808.78</v>
      </c>
      <c r="I129" s="11">
        <v>132676.6</v>
      </c>
      <c r="J129" s="11"/>
      <c r="K129" s="11">
        <v>3042589.74</v>
      </c>
      <c r="L129" s="11">
        <f t="shared" si="7"/>
        <v>20750949.210000001</v>
      </c>
    </row>
    <row r="130" spans="1:12" x14ac:dyDescent="0.35">
      <c r="A130" s="7">
        <v>44093</v>
      </c>
      <c r="B130" s="11">
        <v>1364936.48</v>
      </c>
      <c r="C130" s="11">
        <v>671808.5</v>
      </c>
      <c r="D130" s="11">
        <v>194266.43</v>
      </c>
      <c r="E130" s="11">
        <v>10869224.5</v>
      </c>
      <c r="F130" s="11">
        <v>4507046.66</v>
      </c>
      <c r="G130" s="11">
        <v>121891.83</v>
      </c>
      <c r="H130" s="11">
        <v>4994240.7699999996</v>
      </c>
      <c r="I130" s="11">
        <v>449393.72</v>
      </c>
      <c r="J130" s="11">
        <v>2456.69</v>
      </c>
      <c r="K130" s="11">
        <v>3186370.16</v>
      </c>
      <c r="L130" s="11">
        <f t="shared" si="7"/>
        <v>26361635.739999998</v>
      </c>
    </row>
    <row r="131" spans="1:12" x14ac:dyDescent="0.35">
      <c r="A131" s="7">
        <v>44123</v>
      </c>
      <c r="B131" s="11">
        <v>1134178.96</v>
      </c>
      <c r="C131" s="11">
        <v>608025.30000000005</v>
      </c>
      <c r="D131" s="11">
        <v>202880.11</v>
      </c>
      <c r="E131" s="11">
        <v>9207054.3699999992</v>
      </c>
      <c r="F131" s="11">
        <v>4317454.29</v>
      </c>
      <c r="G131" s="11">
        <v>171339.57</v>
      </c>
      <c r="H131" s="11">
        <v>5648124.1200000001</v>
      </c>
      <c r="I131" s="11">
        <v>146577.31</v>
      </c>
      <c r="J131" s="11"/>
      <c r="K131" s="11">
        <v>3072255.5</v>
      </c>
      <c r="L131" s="11">
        <f>SUM(B131:K131)</f>
        <v>24507889.529999997</v>
      </c>
    </row>
    <row r="132" spans="1:12" x14ac:dyDescent="0.35">
      <c r="A132" s="7">
        <v>44154</v>
      </c>
      <c r="B132" s="11">
        <v>1243365.24</v>
      </c>
      <c r="C132" s="11">
        <v>583013.94999999995</v>
      </c>
      <c r="D132" s="11">
        <v>168168.61</v>
      </c>
      <c r="E132" s="11">
        <v>9472336.1500000004</v>
      </c>
      <c r="F132" s="11">
        <v>2477053.86</v>
      </c>
      <c r="G132" s="11">
        <v>151067.18</v>
      </c>
      <c r="H132" s="11">
        <v>4173276.13</v>
      </c>
      <c r="I132" s="11">
        <v>110804.32</v>
      </c>
      <c r="J132" s="11"/>
      <c r="K132" s="11">
        <v>3761804.42</v>
      </c>
      <c r="L132" s="11">
        <f t="shared" si="7"/>
        <v>22140889.859999999</v>
      </c>
    </row>
    <row r="133" spans="1:12" ht="15" thickBot="1" x14ac:dyDescent="0.4">
      <c r="A133" s="15">
        <v>44184</v>
      </c>
      <c r="B133" s="54">
        <v>1650868.19</v>
      </c>
      <c r="C133" s="54">
        <v>662693.99</v>
      </c>
      <c r="D133" s="54">
        <v>218765.67</v>
      </c>
      <c r="E133" s="54">
        <v>13043584.6</v>
      </c>
      <c r="F133" s="54">
        <v>4840124.62</v>
      </c>
      <c r="G133" s="54">
        <v>85471.15</v>
      </c>
      <c r="H133" s="54">
        <v>5308538.3600000003</v>
      </c>
      <c r="I133" s="54">
        <v>546900.67000000004</v>
      </c>
      <c r="J133" s="54"/>
      <c r="K133" s="54">
        <v>3911934.5</v>
      </c>
      <c r="L133" s="54">
        <f>SUM(B133:K133)</f>
        <v>30268881.75</v>
      </c>
    </row>
    <row r="134" spans="1:12" x14ac:dyDescent="0.35">
      <c r="A134" s="53">
        <v>44215</v>
      </c>
      <c r="B134" s="70">
        <v>1291769.95</v>
      </c>
      <c r="C134" s="70">
        <v>506369.76</v>
      </c>
      <c r="D134" s="70">
        <v>198328.5</v>
      </c>
      <c r="E134" s="70">
        <v>8120192.8300000001</v>
      </c>
      <c r="F134" s="70">
        <v>1349985.45</v>
      </c>
      <c r="G134" s="70">
        <v>136977.28</v>
      </c>
      <c r="H134" s="70">
        <v>4277218.4000000004</v>
      </c>
      <c r="I134" s="70">
        <v>136409.88</v>
      </c>
      <c r="J134" s="70"/>
      <c r="K134" s="70">
        <v>3230622.17</v>
      </c>
      <c r="L134" s="70">
        <f>SUM(B134:K134)</f>
        <v>19247874.219999999</v>
      </c>
    </row>
    <row r="135" spans="1:12" x14ac:dyDescent="0.35">
      <c r="A135" s="7">
        <v>44246</v>
      </c>
      <c r="B135" s="11">
        <v>1091983.5</v>
      </c>
      <c r="C135" s="11">
        <v>553389.18000000005</v>
      </c>
      <c r="D135" s="11">
        <v>196928.75</v>
      </c>
      <c r="E135" s="11">
        <v>9084025.3300000001</v>
      </c>
      <c r="F135" s="11">
        <v>2072669.16</v>
      </c>
      <c r="G135" s="11">
        <v>178981.74</v>
      </c>
      <c r="H135" s="11">
        <v>4068880.92</v>
      </c>
      <c r="I135" s="11">
        <v>98924.79</v>
      </c>
      <c r="J135" s="11"/>
      <c r="K135" s="11">
        <v>2928756.25</v>
      </c>
      <c r="L135" s="11">
        <f>SUM(B135:K135)</f>
        <v>20274539.619999997</v>
      </c>
    </row>
    <row r="136" spans="1:12" x14ac:dyDescent="0.35">
      <c r="A136" s="7">
        <v>44274</v>
      </c>
      <c r="B136" s="11">
        <v>1889229.34</v>
      </c>
      <c r="C136" s="11">
        <v>799918.1</v>
      </c>
      <c r="D136" s="11">
        <v>221802.5</v>
      </c>
      <c r="E136" s="11">
        <v>10757669.41</v>
      </c>
      <c r="F136" s="11">
        <v>2460962.7400000002</v>
      </c>
      <c r="G136" s="11">
        <v>348915.97</v>
      </c>
      <c r="H136" s="11">
        <v>3963510.48</v>
      </c>
      <c r="I136" s="11">
        <v>602912.61</v>
      </c>
      <c r="J136" s="11"/>
      <c r="K136" s="11">
        <v>4417035.5599999996</v>
      </c>
      <c r="L136" s="11">
        <f t="shared" ref="L136:L144" si="8">SUM(B136:K136)</f>
        <v>25461956.709999997</v>
      </c>
    </row>
    <row r="137" spans="1:12" x14ac:dyDescent="0.35">
      <c r="A137" s="7">
        <v>44305</v>
      </c>
      <c r="B137" s="11">
        <v>1546418.14</v>
      </c>
      <c r="C137" s="11">
        <v>740695.41</v>
      </c>
      <c r="D137" s="11">
        <v>197153.22</v>
      </c>
      <c r="E137" s="11">
        <v>10919241.289999999</v>
      </c>
      <c r="F137" s="11">
        <v>2781560.23</v>
      </c>
      <c r="G137" s="11">
        <v>151771.09</v>
      </c>
      <c r="H137" s="11">
        <v>4902986.08</v>
      </c>
      <c r="I137" s="11">
        <v>175602.2</v>
      </c>
      <c r="J137" s="11"/>
      <c r="K137" s="11">
        <v>3861846.1</v>
      </c>
      <c r="L137" s="11">
        <f t="shared" si="8"/>
        <v>25277273.760000002</v>
      </c>
    </row>
    <row r="138" spans="1:12" x14ac:dyDescent="0.35">
      <c r="A138" s="7">
        <v>44335</v>
      </c>
      <c r="B138" s="11">
        <v>1812472.7</v>
      </c>
      <c r="C138" s="11">
        <v>677965.74</v>
      </c>
      <c r="D138" s="11">
        <v>204499.22</v>
      </c>
      <c r="E138" s="11">
        <v>8498670.9700000007</v>
      </c>
      <c r="F138" s="11">
        <v>4964932.1399999997</v>
      </c>
      <c r="G138" s="11">
        <v>163020.03</v>
      </c>
      <c r="H138" s="11">
        <v>5577938.75</v>
      </c>
      <c r="I138" s="11">
        <v>171267.75</v>
      </c>
      <c r="J138" s="11"/>
      <c r="K138" s="11">
        <v>3681063.79</v>
      </c>
      <c r="L138" s="11">
        <v>25751831.089999996</v>
      </c>
    </row>
    <row r="139" spans="1:12" x14ac:dyDescent="0.35">
      <c r="A139" s="7">
        <v>44366</v>
      </c>
      <c r="B139" s="11">
        <v>1649092.38</v>
      </c>
      <c r="C139" s="11">
        <v>635001.15</v>
      </c>
      <c r="D139" s="11">
        <v>205453.64</v>
      </c>
      <c r="E139" s="11">
        <v>15511445.060000001</v>
      </c>
      <c r="F139" s="11">
        <v>2860536.33</v>
      </c>
      <c r="G139" s="11">
        <v>131175.6</v>
      </c>
      <c r="H139" s="11">
        <v>4186209.01</v>
      </c>
      <c r="I139" s="11">
        <v>697248.68</v>
      </c>
      <c r="J139" s="11"/>
      <c r="K139" s="11">
        <v>4141911.89</v>
      </c>
      <c r="L139" s="11">
        <f t="shared" si="8"/>
        <v>30018073.740000002</v>
      </c>
    </row>
    <row r="140" spans="1:12" x14ac:dyDescent="0.35">
      <c r="A140" s="7">
        <v>44396</v>
      </c>
      <c r="B140" s="11">
        <v>1441891.04</v>
      </c>
      <c r="C140" s="11">
        <v>662563.97</v>
      </c>
      <c r="D140" s="11">
        <v>209572.73</v>
      </c>
      <c r="E140" s="11">
        <v>10154389.189999999</v>
      </c>
      <c r="F140" s="11">
        <v>2793782.91</v>
      </c>
      <c r="G140" s="11">
        <v>137906.10999999999</v>
      </c>
      <c r="H140" s="11">
        <v>4784068.5599999996</v>
      </c>
      <c r="I140" s="11">
        <v>159551.89000000001</v>
      </c>
      <c r="J140" s="11"/>
      <c r="K140" s="11">
        <v>3999364.55</v>
      </c>
      <c r="L140" s="11">
        <f t="shared" si="8"/>
        <v>24343090.949999999</v>
      </c>
    </row>
    <row r="141" spans="1:12" x14ac:dyDescent="0.35">
      <c r="A141" s="7">
        <v>44427</v>
      </c>
      <c r="B141" s="185">
        <v>1422485.42</v>
      </c>
      <c r="C141" s="185">
        <v>501245.3</v>
      </c>
      <c r="D141" s="185">
        <v>237747.31</v>
      </c>
      <c r="E141" s="185">
        <v>9932500.4100000001</v>
      </c>
      <c r="F141" s="185">
        <v>2827683.46</v>
      </c>
      <c r="G141" s="185">
        <v>157736.78</v>
      </c>
      <c r="H141" s="185">
        <v>5358263.1900000004</v>
      </c>
      <c r="I141" s="185">
        <v>167141.1</v>
      </c>
      <c r="J141" s="185"/>
      <c r="K141" s="185">
        <v>3662636.2</v>
      </c>
      <c r="L141" s="11">
        <f t="shared" si="8"/>
        <v>24267439.169999998</v>
      </c>
    </row>
    <row r="142" spans="1:12" x14ac:dyDescent="0.35">
      <c r="A142" s="7">
        <v>44458</v>
      </c>
      <c r="B142" s="37">
        <v>1302440.01</v>
      </c>
      <c r="C142" s="37">
        <v>791856.85</v>
      </c>
      <c r="D142" s="37">
        <v>225962.23999999999</v>
      </c>
      <c r="E142" s="37">
        <v>13674324.109999999</v>
      </c>
      <c r="F142" s="37">
        <v>4436844.07</v>
      </c>
      <c r="G142" s="37">
        <v>122252.81</v>
      </c>
      <c r="H142" s="37">
        <v>4323710.1900000004</v>
      </c>
      <c r="I142" s="37">
        <v>697004.13</v>
      </c>
      <c r="J142" s="37"/>
      <c r="K142" s="37">
        <v>4363820.08</v>
      </c>
      <c r="L142" s="11">
        <f t="shared" si="8"/>
        <v>29938214.490000002</v>
      </c>
    </row>
    <row r="143" spans="1:12" x14ac:dyDescent="0.35">
      <c r="A143" s="7">
        <v>44488</v>
      </c>
      <c r="B143" s="11">
        <v>1431509.55</v>
      </c>
      <c r="C143" s="11">
        <v>825208</v>
      </c>
      <c r="D143" s="11">
        <v>227613.31</v>
      </c>
      <c r="E143" s="11">
        <v>12176282.560000001</v>
      </c>
      <c r="F143" s="11">
        <v>3826925.94</v>
      </c>
      <c r="G143" s="11">
        <v>74211.199999999997</v>
      </c>
      <c r="H143" s="11">
        <v>4420284.75</v>
      </c>
      <c r="I143" s="11">
        <v>518847.71</v>
      </c>
      <c r="J143" s="11"/>
      <c r="K143" s="11">
        <v>4036787.99</v>
      </c>
      <c r="L143" s="11">
        <f>SUM(B143:K143)</f>
        <v>27537671.009999998</v>
      </c>
    </row>
    <row r="144" spans="1:12" x14ac:dyDescent="0.35">
      <c r="A144" s="7">
        <v>44519</v>
      </c>
      <c r="B144" s="11">
        <v>1574615.3</v>
      </c>
      <c r="C144" s="11">
        <v>606135.9</v>
      </c>
      <c r="D144" s="11">
        <v>224640.06</v>
      </c>
      <c r="E144" s="11">
        <v>11410209.539999999</v>
      </c>
      <c r="F144" s="11">
        <v>2833362.52</v>
      </c>
      <c r="G144" s="11">
        <v>106215.65</v>
      </c>
      <c r="H144" s="11">
        <v>3810462.04</v>
      </c>
      <c r="I144" s="11">
        <v>524415.55000000005</v>
      </c>
      <c r="J144" s="11"/>
      <c r="K144" s="11">
        <v>4376202.5</v>
      </c>
      <c r="L144" s="11">
        <f t="shared" si="8"/>
        <v>25466259.059999999</v>
      </c>
    </row>
    <row r="145" spans="1:12" ht="15" thickBot="1" x14ac:dyDescent="0.4">
      <c r="A145" s="15">
        <v>44549</v>
      </c>
      <c r="B145" s="54">
        <v>1301565.27</v>
      </c>
      <c r="C145" s="54">
        <v>718588</v>
      </c>
      <c r="D145" s="54">
        <v>203178</v>
      </c>
      <c r="E145" s="54">
        <v>17914929.48</v>
      </c>
      <c r="F145" s="54">
        <v>2523788.11</v>
      </c>
      <c r="G145" s="54">
        <v>122823.8</v>
      </c>
      <c r="H145" s="54">
        <v>5257554.88</v>
      </c>
      <c r="I145" s="54">
        <v>489604.33</v>
      </c>
      <c r="J145" s="54"/>
      <c r="K145" s="54">
        <v>4786782.4000000004</v>
      </c>
      <c r="L145" s="54">
        <f>SUM(B145:K145)</f>
        <v>33318814.269999996</v>
      </c>
    </row>
    <row r="146" spans="1:12" x14ac:dyDescent="0.35">
      <c r="A146" s="53">
        <v>44583</v>
      </c>
      <c r="B146" s="70">
        <v>1157000.05</v>
      </c>
      <c r="C146" s="70">
        <v>608629.54</v>
      </c>
      <c r="D146" s="70">
        <v>219489.27</v>
      </c>
      <c r="E146" s="70">
        <v>9851491.8800000008</v>
      </c>
      <c r="F146" s="70">
        <v>2329018.4500000002</v>
      </c>
      <c r="G146" s="70">
        <v>99838.88</v>
      </c>
      <c r="H146" s="70">
        <v>12633525.41</v>
      </c>
      <c r="I146" s="70">
        <v>194569.63</v>
      </c>
      <c r="J146" s="70"/>
      <c r="K146" s="70">
        <v>3976330.1</v>
      </c>
      <c r="L146" s="70">
        <f>SUM(B146:K146)</f>
        <v>31069893.210000005</v>
      </c>
    </row>
    <row r="147" spans="1:12" x14ac:dyDescent="0.35">
      <c r="A147" s="7">
        <v>44614</v>
      </c>
      <c r="B147" s="11">
        <v>1351822.76</v>
      </c>
      <c r="C147" s="11">
        <v>662626.47</v>
      </c>
      <c r="D147" s="11">
        <v>235479.42</v>
      </c>
      <c r="E147" s="11">
        <v>9297339.5700000003</v>
      </c>
      <c r="F147" s="11">
        <v>2807549.06</v>
      </c>
      <c r="G147" s="11">
        <v>114002.16</v>
      </c>
      <c r="H147" s="11">
        <v>6085886.8600000003</v>
      </c>
      <c r="I147" s="11">
        <v>195413.89</v>
      </c>
      <c r="J147" s="11"/>
      <c r="K147" s="11">
        <v>3615660.11</v>
      </c>
      <c r="L147" s="11">
        <f>SUM(B147:K147)</f>
        <v>24365780.300000001</v>
      </c>
    </row>
    <row r="148" spans="1:12" x14ac:dyDescent="0.35">
      <c r="A148" s="7">
        <v>44642</v>
      </c>
      <c r="B148" s="11">
        <v>1657878.26</v>
      </c>
      <c r="C148" s="11">
        <v>653261.25</v>
      </c>
      <c r="D148" s="11">
        <v>267968.71000000002</v>
      </c>
      <c r="E148" s="11">
        <v>14043053.15</v>
      </c>
      <c r="F148" s="11">
        <v>3576156.31</v>
      </c>
      <c r="G148" s="11">
        <v>207613.48</v>
      </c>
      <c r="H148" s="11">
        <v>5703303.9900000002</v>
      </c>
      <c r="I148" s="11">
        <v>531446.87</v>
      </c>
      <c r="J148" s="11"/>
      <c r="K148" s="11">
        <v>4110626.32</v>
      </c>
      <c r="L148" s="11">
        <f t="shared" ref="L148:L150" si="9">SUM(B148:K148)</f>
        <v>30751308.34</v>
      </c>
    </row>
    <row r="149" spans="1:12" x14ac:dyDescent="0.35">
      <c r="A149" s="7">
        <v>44673</v>
      </c>
      <c r="B149" s="11">
        <v>1393651</v>
      </c>
      <c r="C149" s="11">
        <v>612795</v>
      </c>
      <c r="D149" s="11">
        <v>215782</v>
      </c>
      <c r="E149" s="11">
        <v>10747058</v>
      </c>
      <c r="F149" s="11">
        <v>3749758</v>
      </c>
      <c r="G149" s="11">
        <v>237501</v>
      </c>
      <c r="H149" s="11">
        <v>5891133</v>
      </c>
      <c r="I149" s="11">
        <v>211883</v>
      </c>
      <c r="J149" s="11"/>
      <c r="K149" s="11">
        <v>4112703</v>
      </c>
      <c r="L149" s="11">
        <f t="shared" si="9"/>
        <v>27172264</v>
      </c>
    </row>
    <row r="150" spans="1:12" x14ac:dyDescent="0.35">
      <c r="A150" s="7">
        <v>44703</v>
      </c>
      <c r="B150" s="11">
        <v>1384481.53</v>
      </c>
      <c r="C150" s="11">
        <v>639782.73</v>
      </c>
      <c r="D150" s="11">
        <v>169361.77</v>
      </c>
      <c r="E150" s="11">
        <v>9687278</v>
      </c>
      <c r="F150" s="11">
        <v>3311498.29</v>
      </c>
      <c r="G150" s="11">
        <v>96151.21</v>
      </c>
      <c r="H150" s="11">
        <v>5685818</v>
      </c>
      <c r="I150" s="11">
        <v>186028.31</v>
      </c>
      <c r="J150" s="11"/>
      <c r="K150" s="11">
        <v>3749078.79</v>
      </c>
      <c r="L150" s="11">
        <f t="shared" si="9"/>
        <v>24909478.629999999</v>
      </c>
    </row>
    <row r="151" spans="1:12" x14ac:dyDescent="0.35">
      <c r="A151" s="7">
        <v>44734</v>
      </c>
      <c r="B151" s="11">
        <v>1051595</v>
      </c>
      <c r="C151" s="11">
        <v>631995</v>
      </c>
      <c r="D151" s="11">
        <v>217113</v>
      </c>
      <c r="E151" s="11">
        <v>13683951</v>
      </c>
      <c r="F151" s="11">
        <v>3032181</v>
      </c>
      <c r="G151" s="11">
        <v>111818</v>
      </c>
      <c r="H151" s="11">
        <v>5954884</v>
      </c>
      <c r="I151" s="11">
        <v>290650</v>
      </c>
      <c r="J151" s="11"/>
      <c r="K151" s="11">
        <v>3995985</v>
      </c>
      <c r="L151" s="11">
        <f t="shared" ref="L151:L154" si="10">SUM(B151:K151)</f>
        <v>28970172</v>
      </c>
    </row>
    <row r="152" spans="1:12" x14ac:dyDescent="0.35">
      <c r="A152" s="7">
        <v>44764</v>
      </c>
      <c r="B152" s="11">
        <v>1199222</v>
      </c>
      <c r="C152" s="11">
        <v>609840</v>
      </c>
      <c r="D152" s="11">
        <v>216472</v>
      </c>
      <c r="E152" s="11">
        <v>9020821</v>
      </c>
      <c r="F152" s="11">
        <v>8313735</v>
      </c>
      <c r="G152" s="11">
        <v>90047</v>
      </c>
      <c r="H152" s="11">
        <v>4536556</v>
      </c>
      <c r="I152" s="11">
        <v>185234</v>
      </c>
      <c r="J152" s="11"/>
      <c r="K152" s="11">
        <v>3749694</v>
      </c>
      <c r="L152" s="11">
        <f t="shared" si="10"/>
        <v>27921621</v>
      </c>
    </row>
    <row r="153" spans="1:12" x14ac:dyDescent="0.35">
      <c r="A153" s="7">
        <v>44795</v>
      </c>
      <c r="B153" s="293">
        <v>1318821</v>
      </c>
      <c r="C153" s="293">
        <v>675765</v>
      </c>
      <c r="D153" s="293">
        <v>215177</v>
      </c>
      <c r="E153" s="293">
        <v>9474563</v>
      </c>
      <c r="F153" s="293">
        <v>2259753</v>
      </c>
      <c r="G153" s="293">
        <v>113708</v>
      </c>
      <c r="H153" s="293">
        <v>5075770</v>
      </c>
      <c r="I153" s="293">
        <v>102526</v>
      </c>
      <c r="J153" s="293"/>
      <c r="K153" s="293">
        <v>3860372</v>
      </c>
      <c r="L153" s="11">
        <f t="shared" si="10"/>
        <v>23096455</v>
      </c>
    </row>
    <row r="154" spans="1:12" x14ac:dyDescent="0.35">
      <c r="A154" s="7">
        <v>44826</v>
      </c>
      <c r="B154" s="37">
        <v>1017051.2</v>
      </c>
      <c r="C154" s="37">
        <v>575826.38</v>
      </c>
      <c r="D154" s="37">
        <v>227710.12</v>
      </c>
      <c r="E154" s="37">
        <v>10983036.65</v>
      </c>
      <c r="F154" s="37">
        <v>2424715.7400000002</v>
      </c>
      <c r="G154" s="37">
        <v>101006.35</v>
      </c>
      <c r="H154" s="37">
        <v>5414508.1600000001</v>
      </c>
      <c r="I154" s="37">
        <v>269849.38</v>
      </c>
      <c r="J154" s="37"/>
      <c r="K154" s="37">
        <v>3876127.86</v>
      </c>
      <c r="L154" s="11">
        <f t="shared" si="10"/>
        <v>24889831.84</v>
      </c>
    </row>
    <row r="155" spans="1:12" x14ac:dyDescent="0.35">
      <c r="A155" s="7">
        <v>44856</v>
      </c>
      <c r="B155" s="11">
        <v>1116237</v>
      </c>
      <c r="C155" s="11">
        <v>639993</v>
      </c>
      <c r="D155" s="11">
        <v>226877</v>
      </c>
      <c r="E155" s="11">
        <v>11353775</v>
      </c>
      <c r="F155" s="11">
        <v>2828563</v>
      </c>
      <c r="G155" s="11">
        <v>72720</v>
      </c>
      <c r="H155" s="11">
        <v>9927860</v>
      </c>
      <c r="I155" s="11">
        <v>182107</v>
      </c>
      <c r="J155" s="11"/>
      <c r="K155" s="11">
        <v>3012142</v>
      </c>
      <c r="L155" s="11">
        <f>SUM(B155:K155)</f>
        <v>29360274</v>
      </c>
    </row>
    <row r="156" spans="1:12" x14ac:dyDescent="0.35">
      <c r="A156" s="7">
        <v>44887</v>
      </c>
      <c r="B156" s="11">
        <v>1365849</v>
      </c>
      <c r="C156" s="11">
        <v>554664</v>
      </c>
      <c r="D156" s="11">
        <v>215521</v>
      </c>
      <c r="E156" s="11">
        <v>9213743</v>
      </c>
      <c r="F156" s="11">
        <v>2358501</v>
      </c>
      <c r="G156" s="11">
        <v>78524</v>
      </c>
      <c r="H156" s="11">
        <v>5016888</v>
      </c>
      <c r="I156" s="11">
        <v>152060</v>
      </c>
      <c r="J156" s="11"/>
      <c r="K156" s="11">
        <v>3641624</v>
      </c>
      <c r="L156" s="11">
        <f t="shared" ref="L156" si="11">SUM(B156:K156)</f>
        <v>22597374</v>
      </c>
    </row>
    <row r="157" spans="1:12" ht="15" thickBot="1" x14ac:dyDescent="0.4">
      <c r="A157" s="15">
        <v>44917</v>
      </c>
      <c r="B157" s="54">
        <v>1180717</v>
      </c>
      <c r="C157" s="54">
        <v>694604</v>
      </c>
      <c r="D157" s="54">
        <v>196197</v>
      </c>
      <c r="E157" s="54">
        <v>11066408</v>
      </c>
      <c r="F157" s="54">
        <v>2114218</v>
      </c>
      <c r="G157" s="54">
        <v>56007</v>
      </c>
      <c r="H157" s="54">
        <v>8173306</v>
      </c>
      <c r="I157" s="54">
        <v>155095</v>
      </c>
      <c r="J157" s="54"/>
      <c r="K157" s="54">
        <v>4206765</v>
      </c>
      <c r="L157" s="54">
        <f>SUM(B157:K157)</f>
        <v>27843317</v>
      </c>
    </row>
    <row r="158" spans="1:12" x14ac:dyDescent="0.35">
      <c r="A158" s="53">
        <v>44948</v>
      </c>
      <c r="B158" s="70">
        <v>865043</v>
      </c>
      <c r="C158" s="70">
        <v>680137</v>
      </c>
      <c r="D158" s="70">
        <v>219996</v>
      </c>
      <c r="E158" s="70">
        <v>8460067</v>
      </c>
      <c r="F158" s="70">
        <v>2135079</v>
      </c>
      <c r="G158" s="70">
        <v>75082</v>
      </c>
      <c r="H158" s="70">
        <v>5844691</v>
      </c>
      <c r="I158" s="70">
        <v>164092</v>
      </c>
      <c r="J158" s="70">
        <v>1978</v>
      </c>
      <c r="K158" s="70">
        <v>3545843</v>
      </c>
      <c r="L158" s="70">
        <f>SUM(B158:K158)</f>
        <v>21992008</v>
      </c>
    </row>
    <row r="159" spans="1:12" x14ac:dyDescent="0.35">
      <c r="A159" s="7">
        <v>44979</v>
      </c>
      <c r="B159" s="11">
        <v>1046601</v>
      </c>
      <c r="C159" s="11">
        <v>674413</v>
      </c>
      <c r="D159" s="11">
        <v>207033</v>
      </c>
      <c r="E159" s="11">
        <v>11450846</v>
      </c>
      <c r="F159" s="11">
        <v>2870714</v>
      </c>
      <c r="G159" s="11">
        <v>60517</v>
      </c>
      <c r="H159" s="11">
        <v>3999384</v>
      </c>
      <c r="I159" s="11">
        <v>168575</v>
      </c>
      <c r="J159" s="11"/>
      <c r="K159" s="11">
        <v>3070161</v>
      </c>
      <c r="L159" s="11">
        <f>SUM(B159:K159)</f>
        <v>23548244</v>
      </c>
    </row>
    <row r="160" spans="1:12" x14ac:dyDescent="0.35">
      <c r="A160" s="7">
        <v>45007</v>
      </c>
      <c r="B160" s="100">
        <v>1131917.1399999999</v>
      </c>
      <c r="C160" s="100">
        <v>789690.33</v>
      </c>
      <c r="D160" s="100">
        <v>197447.5</v>
      </c>
      <c r="E160" s="100">
        <v>10381884.060000001</v>
      </c>
      <c r="F160" s="100">
        <v>3959419.26</v>
      </c>
      <c r="G160" s="100">
        <v>109579.33</v>
      </c>
      <c r="H160" s="100">
        <v>4253061.53</v>
      </c>
      <c r="I160" s="100">
        <v>344372.92</v>
      </c>
      <c r="J160" s="100"/>
      <c r="K160" s="122">
        <v>3619342.16</v>
      </c>
      <c r="L160" s="11">
        <f t="shared" ref="L160:L166" si="12">SUM(B160:K160)</f>
        <v>24786714.230000004</v>
      </c>
    </row>
    <row r="161" spans="1:12" x14ac:dyDescent="0.35">
      <c r="A161" s="42">
        <v>45038</v>
      </c>
      <c r="B161" s="11">
        <v>1086213</v>
      </c>
      <c r="C161" s="11">
        <v>605137</v>
      </c>
      <c r="D161" s="11">
        <v>277908</v>
      </c>
      <c r="E161" s="11">
        <v>9103094</v>
      </c>
      <c r="F161" s="11">
        <v>3377627</v>
      </c>
      <c r="G161" s="11">
        <v>77840</v>
      </c>
      <c r="H161" s="11">
        <v>3513072</v>
      </c>
      <c r="I161" s="11">
        <v>302612</v>
      </c>
      <c r="J161" s="11"/>
      <c r="K161" s="11">
        <v>3317085</v>
      </c>
      <c r="L161" s="11">
        <f t="shared" si="12"/>
        <v>21660588</v>
      </c>
    </row>
    <row r="162" spans="1:12" x14ac:dyDescent="0.35">
      <c r="A162" s="7">
        <v>45068</v>
      </c>
      <c r="B162" s="11">
        <v>1314057</v>
      </c>
      <c r="C162" s="11">
        <v>685973</v>
      </c>
      <c r="D162" s="11">
        <v>189928</v>
      </c>
      <c r="E162" s="11">
        <v>8425721</v>
      </c>
      <c r="F162" s="11">
        <v>3035714</v>
      </c>
      <c r="G162" s="11">
        <v>126520</v>
      </c>
      <c r="H162" s="11">
        <v>4388674</v>
      </c>
      <c r="I162" s="11">
        <v>182512</v>
      </c>
      <c r="J162" s="11"/>
      <c r="K162" s="11">
        <v>3538187</v>
      </c>
      <c r="L162" s="11">
        <f t="shared" si="12"/>
        <v>21887286</v>
      </c>
    </row>
    <row r="163" spans="1:12" x14ac:dyDescent="0.35">
      <c r="A163" s="7">
        <v>45099</v>
      </c>
      <c r="B163" s="11">
        <v>952944</v>
      </c>
      <c r="C163" s="11">
        <v>759312</v>
      </c>
      <c r="D163" s="11">
        <v>219530</v>
      </c>
      <c r="E163" s="11">
        <v>9896510</v>
      </c>
      <c r="F163" s="11">
        <v>3019230</v>
      </c>
      <c r="G163" s="11">
        <v>60121</v>
      </c>
      <c r="H163" s="11">
        <v>4677228</v>
      </c>
      <c r="I163" s="11">
        <v>305126</v>
      </c>
      <c r="J163" s="11"/>
      <c r="K163" s="11">
        <v>3739743</v>
      </c>
      <c r="L163" s="11">
        <f t="shared" si="12"/>
        <v>23629744</v>
      </c>
    </row>
    <row r="164" spans="1:12" x14ac:dyDescent="0.35">
      <c r="A164" s="42">
        <v>45129</v>
      </c>
      <c r="B164" s="11">
        <v>903447</v>
      </c>
      <c r="C164" s="11">
        <v>799830</v>
      </c>
      <c r="D164" s="11">
        <v>167226</v>
      </c>
      <c r="E164" s="11">
        <v>9460315</v>
      </c>
      <c r="F164" s="11">
        <v>2684347</v>
      </c>
      <c r="G164" s="11">
        <v>92356</v>
      </c>
      <c r="H164" s="11">
        <v>6106719</v>
      </c>
      <c r="I164" s="11">
        <v>179174</v>
      </c>
      <c r="J164" s="11"/>
      <c r="K164" s="11">
        <v>3350714</v>
      </c>
      <c r="L164" s="11">
        <f t="shared" si="12"/>
        <v>23744128</v>
      </c>
    </row>
    <row r="165" spans="1:12" x14ac:dyDescent="0.35">
      <c r="A165" s="7">
        <v>45160</v>
      </c>
      <c r="B165" s="293">
        <v>1078224</v>
      </c>
      <c r="C165" s="293">
        <v>844394</v>
      </c>
      <c r="D165" s="293">
        <v>252168</v>
      </c>
      <c r="E165" s="293">
        <v>8227416</v>
      </c>
      <c r="F165" s="293">
        <v>2365571</v>
      </c>
      <c r="G165" s="293">
        <v>121109</v>
      </c>
      <c r="H165" s="293">
        <v>7449706</v>
      </c>
      <c r="I165" s="293">
        <v>165186</v>
      </c>
      <c r="J165" s="293">
        <v>2183</v>
      </c>
      <c r="K165" s="293">
        <v>4057748</v>
      </c>
      <c r="L165" s="11">
        <f t="shared" si="12"/>
        <v>24563705</v>
      </c>
    </row>
    <row r="166" spans="1:12" x14ac:dyDescent="0.35">
      <c r="A166" s="7">
        <v>45191</v>
      </c>
      <c r="B166" s="37">
        <v>996393</v>
      </c>
      <c r="C166" s="37">
        <v>945988</v>
      </c>
      <c r="D166" s="37">
        <v>216259</v>
      </c>
      <c r="E166" s="37">
        <v>9296705</v>
      </c>
      <c r="F166" s="37">
        <v>2498228</v>
      </c>
      <c r="G166" s="37">
        <v>75105</v>
      </c>
      <c r="H166" s="37">
        <v>5480720</v>
      </c>
      <c r="I166" s="37">
        <v>157958</v>
      </c>
      <c r="J166" s="37"/>
      <c r="K166" s="37">
        <v>3647189</v>
      </c>
      <c r="L166" s="11">
        <f t="shared" si="12"/>
        <v>23314545</v>
      </c>
    </row>
    <row r="167" spans="1:12" x14ac:dyDescent="0.35">
      <c r="A167" s="42">
        <v>45221</v>
      </c>
      <c r="B167" s="11">
        <v>819270</v>
      </c>
      <c r="C167" s="11">
        <v>737153</v>
      </c>
      <c r="D167" s="11">
        <v>236237</v>
      </c>
      <c r="E167" s="11">
        <v>9020044</v>
      </c>
      <c r="F167" s="11">
        <v>3035683</v>
      </c>
      <c r="G167" s="11">
        <v>70160</v>
      </c>
      <c r="H167" s="11">
        <v>5425812</v>
      </c>
      <c r="I167" s="11">
        <v>187115</v>
      </c>
      <c r="J167" s="11"/>
      <c r="K167" s="11">
        <v>3078621</v>
      </c>
      <c r="L167" s="11">
        <f>SUM(B167:K167)</f>
        <v>22610095</v>
      </c>
    </row>
    <row r="168" spans="1:12" x14ac:dyDescent="0.35">
      <c r="A168" s="7">
        <v>45252</v>
      </c>
      <c r="B168" s="100">
        <v>1051110.08</v>
      </c>
      <c r="C168" s="100">
        <v>829394.38</v>
      </c>
      <c r="D168" s="100">
        <v>196061.83</v>
      </c>
      <c r="E168" s="100">
        <v>9411210.0500000007</v>
      </c>
      <c r="F168" s="100">
        <v>2677143.9300000002</v>
      </c>
      <c r="G168" s="100">
        <v>104448.18</v>
      </c>
      <c r="H168" s="100">
        <v>4917932.6399999997</v>
      </c>
      <c r="I168" s="100">
        <v>149371.04</v>
      </c>
      <c r="J168" s="100"/>
      <c r="K168" s="122">
        <v>3578385.53</v>
      </c>
      <c r="L168" s="11">
        <f t="shared" ref="L168:L180" si="13">SUM(B168:K168)</f>
        <v>22915057.66</v>
      </c>
    </row>
    <row r="169" spans="1:12" ht="15" thickBot="1" x14ac:dyDescent="0.4">
      <c r="A169" s="15">
        <v>45282</v>
      </c>
      <c r="B169" s="54">
        <v>813597.44</v>
      </c>
      <c r="C169" s="54">
        <v>848721.42</v>
      </c>
      <c r="D169" s="54">
        <v>211260.67</v>
      </c>
      <c r="E169" s="54">
        <v>9061320.1999999993</v>
      </c>
      <c r="F169" s="54">
        <v>3425088.43</v>
      </c>
      <c r="G169" s="54">
        <v>93472.6</v>
      </c>
      <c r="H169" s="54">
        <v>5983707.1299999999</v>
      </c>
      <c r="I169" s="54">
        <v>162977.07999999999</v>
      </c>
      <c r="J169" s="54"/>
      <c r="K169" s="54">
        <v>3982512</v>
      </c>
      <c r="L169" s="54">
        <f>SUM(B169:K169)</f>
        <v>24582656.969999995</v>
      </c>
    </row>
    <row r="170" spans="1:12" x14ac:dyDescent="0.35">
      <c r="A170" s="53">
        <v>45313</v>
      </c>
      <c r="B170" s="132">
        <v>664979.37</v>
      </c>
      <c r="C170" s="132">
        <v>750285.84</v>
      </c>
      <c r="D170" s="132">
        <v>208866</v>
      </c>
      <c r="E170" s="132">
        <v>9558248.8300000001</v>
      </c>
      <c r="F170" s="132">
        <v>2785475.47</v>
      </c>
      <c r="G170" s="132">
        <v>53694.22</v>
      </c>
      <c r="H170" s="132">
        <v>4867695.5</v>
      </c>
      <c r="I170" s="132">
        <v>143359.47</v>
      </c>
      <c r="J170" s="132"/>
      <c r="K170" s="132">
        <v>3473083.05</v>
      </c>
      <c r="L170" s="11">
        <f t="shared" si="13"/>
        <v>22505687.75</v>
      </c>
    </row>
    <row r="171" spans="1:12" x14ac:dyDescent="0.35">
      <c r="A171" s="7">
        <v>45344</v>
      </c>
      <c r="B171" s="100">
        <v>1027531.46</v>
      </c>
      <c r="C171" s="100">
        <v>844627.02</v>
      </c>
      <c r="D171" s="100">
        <v>216040.83</v>
      </c>
      <c r="E171" s="100">
        <v>9076108.8399999999</v>
      </c>
      <c r="F171" s="100">
        <v>2834872.44</v>
      </c>
      <c r="G171" s="100">
        <v>104580.28</v>
      </c>
      <c r="H171" s="100">
        <v>4954153.53</v>
      </c>
      <c r="I171" s="100">
        <v>165127.67999999999</v>
      </c>
      <c r="J171" s="100"/>
      <c r="K171" s="100">
        <v>3461774.06</v>
      </c>
      <c r="L171" s="11">
        <f t="shared" si="13"/>
        <v>22684816.139999997</v>
      </c>
    </row>
    <row r="172" spans="1:12" x14ac:dyDescent="0.35">
      <c r="A172" s="42">
        <v>45373</v>
      </c>
      <c r="B172" s="100">
        <v>840630.28</v>
      </c>
      <c r="C172" s="100">
        <v>973910.12</v>
      </c>
      <c r="D172" s="100">
        <v>232670.16</v>
      </c>
      <c r="E172" s="100">
        <v>8381946.1799999997</v>
      </c>
      <c r="F172" s="100">
        <v>3815953.02</v>
      </c>
      <c r="G172" s="100">
        <v>124978.32</v>
      </c>
      <c r="H172" s="100">
        <v>6344959</v>
      </c>
      <c r="I172" s="100">
        <v>178179.28</v>
      </c>
      <c r="J172" s="100"/>
      <c r="K172" s="122">
        <v>3635632.07</v>
      </c>
      <c r="L172" s="11">
        <f t="shared" si="13"/>
        <v>24528858.43</v>
      </c>
    </row>
    <row r="173" spans="1:12" x14ac:dyDescent="0.35">
      <c r="A173" s="7">
        <v>45404</v>
      </c>
      <c r="B173" s="11">
        <v>619355.68000000005</v>
      </c>
      <c r="C173" s="11">
        <v>868954.52</v>
      </c>
      <c r="D173" s="11">
        <v>207837.83</v>
      </c>
      <c r="E173" s="11">
        <v>10546494.42</v>
      </c>
      <c r="F173" s="11">
        <v>3727106.72</v>
      </c>
      <c r="G173" s="11">
        <v>118196.2</v>
      </c>
      <c r="H173" s="11">
        <v>4605792.79</v>
      </c>
      <c r="I173" s="11">
        <v>181450.64</v>
      </c>
      <c r="J173" s="11"/>
      <c r="K173" s="11">
        <v>3530206.55</v>
      </c>
      <c r="L173" s="11">
        <f t="shared" si="13"/>
        <v>24405395.350000001</v>
      </c>
    </row>
    <row r="174" spans="1:12" x14ac:dyDescent="0.35">
      <c r="A174" s="42">
        <v>45434</v>
      </c>
      <c r="B174" s="11">
        <v>918312.8</v>
      </c>
      <c r="C174" s="11">
        <v>888503.78</v>
      </c>
      <c r="D174" s="11">
        <v>223995.35</v>
      </c>
      <c r="E174" s="11">
        <v>10777639.789999999</v>
      </c>
      <c r="F174" s="11">
        <v>2926159.49</v>
      </c>
      <c r="G174" s="11">
        <v>113575.47</v>
      </c>
      <c r="H174" s="11">
        <v>4912956.16</v>
      </c>
      <c r="I174" s="11">
        <v>156348.04999999999</v>
      </c>
      <c r="J174" s="11"/>
      <c r="K174" s="11">
        <v>3961826.89</v>
      </c>
      <c r="L174" s="11">
        <f t="shared" si="13"/>
        <v>24879317.780000001</v>
      </c>
    </row>
    <row r="175" spans="1:12" x14ac:dyDescent="0.35">
      <c r="A175" s="7">
        <v>45465</v>
      </c>
      <c r="B175" s="11">
        <v>747453.88</v>
      </c>
      <c r="C175" s="11">
        <v>862385.33</v>
      </c>
      <c r="D175" s="11">
        <v>207022.33</v>
      </c>
      <c r="E175" s="11">
        <v>8330578.2800000003</v>
      </c>
      <c r="F175" s="11">
        <v>3004025.09</v>
      </c>
      <c r="G175" s="11">
        <v>90099.03</v>
      </c>
      <c r="H175" s="11">
        <v>5354046.01</v>
      </c>
      <c r="I175" s="11">
        <v>152555.60999999999</v>
      </c>
      <c r="J175" s="11"/>
      <c r="K175" s="11">
        <v>3439285.86</v>
      </c>
      <c r="L175" s="11">
        <f t="shared" si="13"/>
        <v>22187451.419999998</v>
      </c>
    </row>
    <row r="176" spans="1:12" x14ac:dyDescent="0.35">
      <c r="A176" s="42">
        <v>45495</v>
      </c>
      <c r="B176" s="11">
        <v>692659.51</v>
      </c>
      <c r="C176" s="11">
        <v>952590.14</v>
      </c>
      <c r="D176" s="11">
        <v>206603.5</v>
      </c>
      <c r="E176" s="11">
        <v>9877064.5099999998</v>
      </c>
      <c r="F176" s="11">
        <v>3230616.4</v>
      </c>
      <c r="G176" s="11">
        <v>100659.72</v>
      </c>
      <c r="H176" s="11">
        <v>3979309.49</v>
      </c>
      <c r="I176" s="11">
        <v>174207.58</v>
      </c>
      <c r="J176" s="11"/>
      <c r="K176" s="11">
        <v>3497638.54</v>
      </c>
      <c r="L176" s="11">
        <f t="shared" si="13"/>
        <v>22711349.390000001</v>
      </c>
    </row>
    <row r="177" spans="1:12" x14ac:dyDescent="0.35">
      <c r="A177" s="7">
        <v>45526</v>
      </c>
      <c r="B177" s="293">
        <v>858836.78</v>
      </c>
      <c r="C177" s="293">
        <v>1193611.69</v>
      </c>
      <c r="D177" s="293">
        <v>246972.66</v>
      </c>
      <c r="E177" s="293">
        <v>7760925.0700000003</v>
      </c>
      <c r="F177" s="293">
        <v>2703813.4</v>
      </c>
      <c r="G177" s="293">
        <v>171808.04</v>
      </c>
      <c r="H177" s="293">
        <v>4931530.08</v>
      </c>
      <c r="I177" s="293">
        <v>157042.43</v>
      </c>
      <c r="J177" s="293"/>
      <c r="K177" s="293">
        <v>4000394.79</v>
      </c>
      <c r="L177" s="11">
        <f t="shared" si="13"/>
        <v>22024934.939999998</v>
      </c>
    </row>
    <row r="178" spans="1:12" x14ac:dyDescent="0.35">
      <c r="A178" s="42">
        <v>45557</v>
      </c>
      <c r="B178" s="37">
        <v>1062618.71</v>
      </c>
      <c r="C178" s="37">
        <v>715786.7</v>
      </c>
      <c r="D178" s="37">
        <v>183425.16</v>
      </c>
      <c r="E178" s="37">
        <v>8983113.3499999996</v>
      </c>
      <c r="F178" s="37">
        <v>3149704.5</v>
      </c>
      <c r="G178" s="37">
        <v>109379.15</v>
      </c>
      <c r="H178" s="37">
        <v>3932522.75</v>
      </c>
      <c r="I178" s="37">
        <v>167352.64000000001</v>
      </c>
      <c r="J178" s="37"/>
      <c r="K178" s="37">
        <v>3848952.72</v>
      </c>
      <c r="L178" s="11">
        <f t="shared" si="13"/>
        <v>22152855.68</v>
      </c>
    </row>
    <row r="179" spans="1:12" x14ac:dyDescent="0.35">
      <c r="A179" s="7">
        <v>45587</v>
      </c>
      <c r="B179" s="11">
        <v>764969.1</v>
      </c>
      <c r="C179" s="11">
        <v>832814.03</v>
      </c>
      <c r="D179" s="11">
        <v>226973.33</v>
      </c>
      <c r="E179" s="11">
        <v>8552481.1799999997</v>
      </c>
      <c r="F179" s="11">
        <v>2904137.51</v>
      </c>
      <c r="G179" s="11">
        <v>153064.91</v>
      </c>
      <c r="H179" s="11">
        <v>10248333.960000001</v>
      </c>
      <c r="I179" s="11">
        <v>164485.35</v>
      </c>
      <c r="J179" s="11"/>
      <c r="K179" s="11">
        <v>3556612.88</v>
      </c>
      <c r="L179" s="11">
        <f t="shared" si="13"/>
        <v>27403872.250000004</v>
      </c>
    </row>
    <row r="180" spans="1:12" x14ac:dyDescent="0.35">
      <c r="A180" s="42">
        <v>45618</v>
      </c>
      <c r="B180" s="100">
        <v>857379.79</v>
      </c>
      <c r="C180" s="100">
        <v>855432.16</v>
      </c>
      <c r="D180" s="100">
        <v>194230</v>
      </c>
      <c r="E180" s="100">
        <v>7495617.0199999996</v>
      </c>
      <c r="F180" s="100">
        <v>2571067.21</v>
      </c>
      <c r="G180" s="100">
        <v>149128.43</v>
      </c>
      <c r="H180" s="100">
        <v>3642455.05</v>
      </c>
      <c r="I180" s="100">
        <v>164517.62</v>
      </c>
      <c r="J180" s="100"/>
      <c r="K180" s="122">
        <v>4160504.91</v>
      </c>
      <c r="L180" s="11">
        <f t="shared" si="13"/>
        <v>20090332.189999998</v>
      </c>
    </row>
    <row r="181" spans="1:12" ht="15" thickBot="1" x14ac:dyDescent="0.4">
      <c r="A181" s="15">
        <v>45648</v>
      </c>
      <c r="B181" s="54">
        <v>923682.08</v>
      </c>
      <c r="C181" s="54">
        <v>957068.75</v>
      </c>
      <c r="D181" s="54">
        <v>182453.25</v>
      </c>
      <c r="E181" s="54">
        <v>9130017.3900000006</v>
      </c>
      <c r="F181" s="54">
        <v>2296413.06</v>
      </c>
      <c r="G181" s="54">
        <v>197799.6</v>
      </c>
      <c r="H181" s="54">
        <v>5160410.66</v>
      </c>
      <c r="I181" s="54">
        <v>180078.69</v>
      </c>
      <c r="J181" s="54"/>
      <c r="K181" s="54">
        <v>4597246.37</v>
      </c>
      <c r="L181" s="54">
        <v>23625169.850000001</v>
      </c>
    </row>
    <row r="182" spans="1:12" x14ac:dyDescent="0.35">
      <c r="A182" s="16"/>
      <c r="B182" s="66"/>
      <c r="C182" s="66"/>
      <c r="D182" s="66"/>
      <c r="E182" s="66"/>
      <c r="F182" s="66"/>
      <c r="G182" s="66"/>
      <c r="H182" s="66"/>
      <c r="I182" s="66"/>
      <c r="J182" s="66"/>
      <c r="K182" s="66"/>
      <c r="L182" s="66"/>
    </row>
    <row r="183" spans="1:12" ht="15" thickBot="1" x14ac:dyDescent="0.4">
      <c r="A183" s="16"/>
      <c r="B183" s="12"/>
      <c r="C183" s="12"/>
      <c r="D183" s="12"/>
      <c r="E183" s="12"/>
      <c r="F183" s="12"/>
      <c r="G183" s="12"/>
    </row>
    <row r="184" spans="1:12" x14ac:dyDescent="0.35">
      <c r="A184" s="1" t="s">
        <v>9</v>
      </c>
      <c r="B184" s="103" t="s">
        <v>260</v>
      </c>
      <c r="C184" s="2" t="s">
        <v>261</v>
      </c>
      <c r="D184" s="3" t="s">
        <v>262</v>
      </c>
      <c r="E184" s="2" t="s">
        <v>263</v>
      </c>
      <c r="F184" s="3" t="s">
        <v>264</v>
      </c>
      <c r="G184" s="2" t="s">
        <v>265</v>
      </c>
      <c r="H184" s="3" t="s">
        <v>266</v>
      </c>
      <c r="I184" s="2" t="s">
        <v>267</v>
      </c>
      <c r="J184" s="3" t="s">
        <v>268</v>
      </c>
      <c r="K184" s="2" t="s">
        <v>269</v>
      </c>
      <c r="L184" s="2" t="s">
        <v>270</v>
      </c>
    </row>
    <row r="185" spans="1:12" x14ac:dyDescent="0.35">
      <c r="A185" s="18">
        <v>2010</v>
      </c>
      <c r="B185" s="104">
        <f t="shared" ref="B185:L185" si="14">SUM(B2:B13)</f>
        <v>15398785</v>
      </c>
      <c r="C185" s="11">
        <f t="shared" si="14"/>
        <v>12133240</v>
      </c>
      <c r="D185" s="104">
        <f t="shared" si="14"/>
        <v>74100</v>
      </c>
      <c r="E185" s="11">
        <f t="shared" si="14"/>
        <v>117291166</v>
      </c>
      <c r="F185" s="104">
        <f t="shared" si="14"/>
        <v>1306293</v>
      </c>
      <c r="G185" s="11">
        <f t="shared" si="14"/>
        <v>915032</v>
      </c>
      <c r="H185" s="104">
        <f t="shared" si="14"/>
        <v>42114944</v>
      </c>
      <c r="I185" s="11">
        <f t="shared" si="14"/>
        <v>730736</v>
      </c>
      <c r="J185" s="104">
        <f t="shared" si="14"/>
        <v>0</v>
      </c>
      <c r="K185" s="11">
        <f t="shared" si="14"/>
        <v>37318777</v>
      </c>
      <c r="L185" s="11">
        <f t="shared" si="14"/>
        <v>227283073</v>
      </c>
    </row>
    <row r="186" spans="1:12" x14ac:dyDescent="0.35">
      <c r="A186" s="18">
        <v>2011</v>
      </c>
      <c r="B186" s="104">
        <f t="shared" ref="B186:B196" ca="1" si="15">SUM(OFFSET($B$2,(12*(ROW(B2)-1)),0,12,1))</f>
        <v>16196245</v>
      </c>
      <c r="C186" s="11">
        <f t="shared" ref="C186:C196" ca="1" si="16">SUM(OFFSET($C$2,(12*(ROW(C2)-1)),0,12,1))</f>
        <v>12746274</v>
      </c>
      <c r="D186" s="104">
        <f t="shared" ref="D186:D196" ca="1" si="17">SUM(OFFSET($D$2,(12*(ROW(D2)-1)),0,12,1))</f>
        <v>86903.5</v>
      </c>
      <c r="E186" s="11">
        <f t="shared" ref="E186:E196" ca="1" si="18">SUM(OFFSET($E$2,(12*(ROW(E2)-1)),0,12,1))</f>
        <v>138112645</v>
      </c>
      <c r="F186" s="104">
        <f t="shared" ref="F186:F196" ca="1" si="19">SUM(OFFSET($F$2,(12*(ROW(F2)-1)),0,12,1))</f>
        <v>1368802</v>
      </c>
      <c r="G186" s="11">
        <f t="shared" ref="G186:G196" ca="1" si="20">SUM(OFFSET($G$2,(12*(ROW(G2)-1)),0,12,1))</f>
        <v>764588</v>
      </c>
      <c r="H186" s="104">
        <f t="shared" ref="H186:H196" ca="1" si="21">SUM(OFFSET($H$2,(12*(ROW(H2)-1)),0,12,1))</f>
        <v>43915802</v>
      </c>
      <c r="I186" s="11">
        <f t="shared" ref="I186:I196" ca="1" si="22">SUM(OFFSET($I$2,(12*(ROW(I2)-1)),0,12,1))</f>
        <v>865010</v>
      </c>
      <c r="J186" s="104">
        <f t="shared" ref="J186:J196" ca="1" si="23">SUM(OFFSET($J$2,(12*(ROW(J2)-1)),0,12,1))</f>
        <v>0</v>
      </c>
      <c r="K186" s="11">
        <f t="shared" ref="K186:K196" ca="1" si="24">SUM(OFFSET($K$2,(12*(ROW(K2)-1)),0,12,1))</f>
        <v>37073894</v>
      </c>
      <c r="L186" s="11">
        <f t="shared" ref="L186:L196" ca="1" si="25">SUM(OFFSET($L$2,(12*(ROW(L2)-1)),0,12,1))</f>
        <v>251130163.5</v>
      </c>
    </row>
    <row r="187" spans="1:12" x14ac:dyDescent="0.35">
      <c r="A187" s="18">
        <v>2012</v>
      </c>
      <c r="B187" s="104">
        <f t="shared" ca="1" si="15"/>
        <v>16139350</v>
      </c>
      <c r="C187" s="11">
        <f t="shared" ca="1" si="16"/>
        <v>11592737</v>
      </c>
      <c r="D187" s="104">
        <f t="shared" ca="1" si="17"/>
        <v>614796</v>
      </c>
      <c r="E187" s="11">
        <f t="shared" ca="1" si="18"/>
        <v>135019636</v>
      </c>
      <c r="F187" s="104">
        <f t="shared" ca="1" si="19"/>
        <v>794624</v>
      </c>
      <c r="G187" s="11">
        <f t="shared" ca="1" si="20"/>
        <v>681601</v>
      </c>
      <c r="H187" s="104">
        <f t="shared" ca="1" si="21"/>
        <v>36784622</v>
      </c>
      <c r="I187" s="11">
        <f t="shared" ca="1" si="22"/>
        <v>982426</v>
      </c>
      <c r="J187" s="104">
        <f t="shared" ca="1" si="23"/>
        <v>0</v>
      </c>
      <c r="K187" s="11">
        <f t="shared" ca="1" si="24"/>
        <v>38352474</v>
      </c>
      <c r="L187" s="11">
        <f t="shared" ca="1" si="25"/>
        <v>240962266</v>
      </c>
    </row>
    <row r="188" spans="1:12" x14ac:dyDescent="0.35">
      <c r="A188" s="18">
        <v>2013</v>
      </c>
      <c r="B188" s="104">
        <f t="shared" ca="1" si="15"/>
        <v>16098949</v>
      </c>
      <c r="C188" s="11">
        <f t="shared" ca="1" si="16"/>
        <v>12637816</v>
      </c>
      <c r="D188" s="104">
        <f t="shared" ca="1" si="17"/>
        <v>1980402</v>
      </c>
      <c r="E188" s="11">
        <f t="shared" ca="1" si="18"/>
        <v>133915396</v>
      </c>
      <c r="F188" s="104">
        <f t="shared" ca="1" si="19"/>
        <v>975081</v>
      </c>
      <c r="G188" s="11">
        <f t="shared" ca="1" si="20"/>
        <v>674320</v>
      </c>
      <c r="H188" s="104">
        <f t="shared" ca="1" si="21"/>
        <v>44146635</v>
      </c>
      <c r="I188" s="11">
        <f t="shared" ca="1" si="22"/>
        <v>1094531</v>
      </c>
      <c r="J188" s="104">
        <f t="shared" ca="1" si="23"/>
        <v>0</v>
      </c>
      <c r="K188" s="11">
        <f t="shared" ca="1" si="24"/>
        <v>41337683</v>
      </c>
      <c r="L188" s="11">
        <f t="shared" ca="1" si="25"/>
        <v>252860813</v>
      </c>
    </row>
    <row r="189" spans="1:12" x14ac:dyDescent="0.35">
      <c r="A189" s="18">
        <v>2014</v>
      </c>
      <c r="B189" s="104">
        <f t="shared" ca="1" si="15"/>
        <v>14382607</v>
      </c>
      <c r="C189" s="11">
        <f t="shared" ca="1" si="16"/>
        <v>11220901</v>
      </c>
      <c r="D189" s="104">
        <f t="shared" ca="1" si="17"/>
        <v>3017106</v>
      </c>
      <c r="E189" s="11">
        <f t="shared" ca="1" si="18"/>
        <v>133693984</v>
      </c>
      <c r="F189" s="104">
        <f t="shared" ca="1" si="19"/>
        <v>1436966</v>
      </c>
      <c r="G189" s="11">
        <f t="shared" ca="1" si="20"/>
        <v>867583</v>
      </c>
      <c r="H189" s="104">
        <f t="shared" ca="1" si="21"/>
        <v>32538240</v>
      </c>
      <c r="I189" s="11">
        <f t="shared" ca="1" si="22"/>
        <v>1213388</v>
      </c>
      <c r="J189" s="104">
        <f t="shared" ca="1" si="23"/>
        <v>5999</v>
      </c>
      <c r="K189" s="11">
        <f t="shared" ca="1" si="24"/>
        <v>47299720</v>
      </c>
      <c r="L189" s="11">
        <f t="shared" ca="1" si="25"/>
        <v>245676494</v>
      </c>
    </row>
    <row r="190" spans="1:12" x14ac:dyDescent="0.35">
      <c r="A190" s="36">
        <v>2015</v>
      </c>
      <c r="B190" s="111">
        <f t="shared" ca="1" si="15"/>
        <v>13498256.83</v>
      </c>
      <c r="C190" s="37">
        <f t="shared" ca="1" si="16"/>
        <v>7018672.96</v>
      </c>
      <c r="D190" s="111">
        <f t="shared" ca="1" si="17"/>
        <v>3060332.2600000002</v>
      </c>
      <c r="E190" s="37">
        <f t="shared" ca="1" si="18"/>
        <v>130810157.90000001</v>
      </c>
      <c r="F190" s="111">
        <f t="shared" ca="1" si="19"/>
        <v>3182349.59</v>
      </c>
      <c r="G190" s="37">
        <f t="shared" ca="1" si="20"/>
        <v>783201.97000000009</v>
      </c>
      <c r="H190" s="111">
        <f t="shared" ca="1" si="21"/>
        <v>36866878.100000001</v>
      </c>
      <c r="I190" s="37">
        <f t="shared" ca="1" si="22"/>
        <v>1267322.25</v>
      </c>
      <c r="J190" s="111">
        <f t="shared" ca="1" si="23"/>
        <v>678</v>
      </c>
      <c r="K190" s="37">
        <f t="shared" ca="1" si="24"/>
        <v>45868691.990000002</v>
      </c>
      <c r="L190" s="37">
        <f t="shared" ca="1" si="25"/>
        <v>242356541.84999999</v>
      </c>
    </row>
    <row r="191" spans="1:12" x14ac:dyDescent="0.35">
      <c r="A191" s="18">
        <v>2016</v>
      </c>
      <c r="B191" s="104">
        <f t="shared" ca="1" si="15"/>
        <v>13067109.569999998</v>
      </c>
      <c r="C191" s="11">
        <f t="shared" ca="1" si="16"/>
        <v>6657546.209999999</v>
      </c>
      <c r="D191" s="104">
        <f t="shared" ca="1" si="17"/>
        <v>2469918.0099999998</v>
      </c>
      <c r="E191" s="11">
        <f t="shared" ca="1" si="18"/>
        <v>119568801.88</v>
      </c>
      <c r="F191" s="104">
        <f t="shared" ca="1" si="19"/>
        <v>3073777.4</v>
      </c>
      <c r="G191" s="11">
        <f t="shared" ca="1" si="20"/>
        <v>675794.15999999992</v>
      </c>
      <c r="H191" s="104">
        <f t="shared" ca="1" si="21"/>
        <v>31066879.969999999</v>
      </c>
      <c r="I191" s="11">
        <f t="shared" ca="1" si="22"/>
        <v>1286083.79</v>
      </c>
      <c r="J191" s="104">
        <f t="shared" ca="1" si="23"/>
        <v>0</v>
      </c>
      <c r="K191" s="11">
        <f t="shared" ca="1" si="24"/>
        <v>41372140.329999998</v>
      </c>
      <c r="L191" s="11">
        <f t="shared" ca="1" si="25"/>
        <v>219238051.31999999</v>
      </c>
    </row>
    <row r="192" spans="1:12" x14ac:dyDescent="0.35">
      <c r="A192" s="18">
        <v>2017</v>
      </c>
      <c r="B192" s="112">
        <f t="shared" ca="1" si="15"/>
        <v>13322594.060000001</v>
      </c>
      <c r="C192" s="85">
        <f t="shared" ca="1" si="16"/>
        <v>6044711.9400000004</v>
      </c>
      <c r="D192" s="112">
        <f t="shared" ca="1" si="17"/>
        <v>2636939.14</v>
      </c>
      <c r="E192" s="85">
        <f t="shared" ca="1" si="18"/>
        <v>119585817.44</v>
      </c>
      <c r="F192" s="112">
        <f t="shared" ca="1" si="19"/>
        <v>9913903.5100000016</v>
      </c>
      <c r="G192" s="85">
        <f t="shared" ca="1" si="20"/>
        <v>900212.44</v>
      </c>
      <c r="H192" s="112">
        <f t="shared" ca="1" si="21"/>
        <v>33759763</v>
      </c>
      <c r="I192" s="85">
        <f t="shared" ca="1" si="22"/>
        <v>1476481.04</v>
      </c>
      <c r="J192" s="112">
        <f t="shared" ca="1" si="23"/>
        <v>0</v>
      </c>
      <c r="K192" s="85">
        <f t="shared" ca="1" si="24"/>
        <v>38760757.810000002</v>
      </c>
      <c r="L192" s="85">
        <f t="shared" ca="1" si="25"/>
        <v>226401180.38</v>
      </c>
    </row>
    <row r="193" spans="1:12" x14ac:dyDescent="0.35">
      <c r="A193" s="18">
        <v>2018</v>
      </c>
      <c r="B193" s="9">
        <f t="shared" ca="1" si="15"/>
        <v>12221020.199999999</v>
      </c>
      <c r="C193" s="11">
        <f t="shared" ca="1" si="16"/>
        <v>7314597.0900000008</v>
      </c>
      <c r="D193" s="9">
        <f t="shared" ca="1" si="17"/>
        <v>2592449.7600000002</v>
      </c>
      <c r="E193" s="11">
        <f t="shared" ca="1" si="18"/>
        <v>126294697.70999998</v>
      </c>
      <c r="F193" s="9">
        <f t="shared" ca="1" si="19"/>
        <v>15718941.919999998</v>
      </c>
      <c r="G193" s="11">
        <f t="shared" ca="1" si="20"/>
        <v>967045.23</v>
      </c>
      <c r="H193" s="9">
        <f t="shared" ca="1" si="21"/>
        <v>35995189.579999998</v>
      </c>
      <c r="I193" s="11">
        <f t="shared" ca="1" si="22"/>
        <v>1851183.31</v>
      </c>
      <c r="J193" s="9">
        <f t="shared" ca="1" si="23"/>
        <v>0</v>
      </c>
      <c r="K193" s="11">
        <f t="shared" ca="1" si="24"/>
        <v>34830924.140000001</v>
      </c>
      <c r="L193" s="11">
        <f t="shared" ca="1" si="25"/>
        <v>237786048.94</v>
      </c>
    </row>
    <row r="194" spans="1:12" x14ac:dyDescent="0.35">
      <c r="A194" s="18">
        <v>2019</v>
      </c>
      <c r="B194" s="11">
        <f t="shared" ca="1" si="15"/>
        <v>13137702.560000001</v>
      </c>
      <c r="C194" s="11">
        <f t="shared" ca="1" si="16"/>
        <v>6788520.8800000008</v>
      </c>
      <c r="D194" s="11">
        <f t="shared" ca="1" si="17"/>
        <v>3078427.7140000002</v>
      </c>
      <c r="E194" s="11">
        <f t="shared" ca="1" si="18"/>
        <v>122566136.64</v>
      </c>
      <c r="F194" s="11">
        <f t="shared" ca="1" si="19"/>
        <v>21616296.529999997</v>
      </c>
      <c r="G194" s="11">
        <f t="shared" ca="1" si="20"/>
        <v>915302.91999999993</v>
      </c>
      <c r="H194" s="11">
        <f t="shared" ca="1" si="21"/>
        <v>68089818.799999997</v>
      </c>
      <c r="I194" s="11">
        <f t="shared" ca="1" si="22"/>
        <v>3555766.9800000004</v>
      </c>
      <c r="J194" s="11">
        <f t="shared" ca="1" si="23"/>
        <v>0</v>
      </c>
      <c r="K194" s="11">
        <f t="shared" ca="1" si="24"/>
        <v>40852047.760000005</v>
      </c>
      <c r="L194" s="11">
        <f t="shared" ca="1" si="25"/>
        <v>280600020.78399998</v>
      </c>
    </row>
    <row r="195" spans="1:12" x14ac:dyDescent="0.35">
      <c r="A195" s="181">
        <v>2020</v>
      </c>
      <c r="B195" s="37">
        <f t="shared" ca="1" si="15"/>
        <v>15553530.640000001</v>
      </c>
      <c r="C195" s="37">
        <f t="shared" ca="1" si="16"/>
        <v>7581955.6400000006</v>
      </c>
      <c r="D195" s="37">
        <f t="shared" ca="1" si="17"/>
        <v>2565040.3899999997</v>
      </c>
      <c r="E195" s="37">
        <f t="shared" ca="1" si="18"/>
        <v>121916638.21000001</v>
      </c>
      <c r="F195" s="37">
        <f t="shared" ca="1" si="19"/>
        <v>28195200.280000001</v>
      </c>
      <c r="G195" s="37">
        <f t="shared" ca="1" si="20"/>
        <v>1241163.0299999998</v>
      </c>
      <c r="H195" s="37">
        <f t="shared" ca="1" si="21"/>
        <v>52908486.420000002</v>
      </c>
      <c r="I195" s="37">
        <f t="shared" ca="1" si="22"/>
        <v>2761528</v>
      </c>
      <c r="J195" s="37">
        <f t="shared" ca="1" si="23"/>
        <v>2456.69</v>
      </c>
      <c r="K195" s="37">
        <f t="shared" ca="1" si="24"/>
        <v>37902039.07</v>
      </c>
      <c r="L195" s="37">
        <f t="shared" ca="1" si="25"/>
        <v>270628038.37</v>
      </c>
    </row>
    <row r="196" spans="1:12" x14ac:dyDescent="0.35">
      <c r="A196" s="207">
        <v>2021</v>
      </c>
      <c r="B196" s="11">
        <f t="shared" ca="1" si="15"/>
        <v>17755472.600000001</v>
      </c>
      <c r="C196" s="11">
        <f t="shared" ca="1" si="16"/>
        <v>8018937.3600000003</v>
      </c>
      <c r="D196" s="11">
        <f t="shared" ca="1" si="17"/>
        <v>2552879.48</v>
      </c>
      <c r="E196" s="11">
        <f t="shared" ca="1" si="18"/>
        <v>138153880.17999998</v>
      </c>
      <c r="F196" s="11">
        <f t="shared" ca="1" si="19"/>
        <v>35733033.060000002</v>
      </c>
      <c r="G196" s="11">
        <f t="shared" ca="1" si="20"/>
        <v>1831988.0599999998</v>
      </c>
      <c r="H196" s="11">
        <f t="shared" ca="1" si="21"/>
        <v>54931087.25</v>
      </c>
      <c r="I196" s="11">
        <f t="shared" ca="1" si="22"/>
        <v>4438930.62</v>
      </c>
      <c r="J196" s="11">
        <f t="shared" ca="1" si="23"/>
        <v>0</v>
      </c>
      <c r="K196" s="11">
        <f t="shared" ca="1" si="24"/>
        <v>47486829.480000004</v>
      </c>
      <c r="L196" s="11">
        <f t="shared" ca="1" si="25"/>
        <v>310903038.08999997</v>
      </c>
    </row>
    <row r="197" spans="1:12" x14ac:dyDescent="0.35">
      <c r="A197" s="207">
        <v>2022</v>
      </c>
      <c r="B197" s="11">
        <f t="shared" ref="B197:L197" si="26">SUM(B146:B157)</f>
        <v>15194325.800000001</v>
      </c>
      <c r="C197" s="11">
        <f t="shared" si="26"/>
        <v>7559782.3700000001</v>
      </c>
      <c r="D197" s="11">
        <f t="shared" si="26"/>
        <v>2623148.29</v>
      </c>
      <c r="E197" s="11">
        <f t="shared" si="26"/>
        <v>128422518.25</v>
      </c>
      <c r="F197" s="11">
        <f t="shared" si="26"/>
        <v>39105646.850000001</v>
      </c>
      <c r="G197" s="11">
        <f t="shared" si="26"/>
        <v>1378937.08</v>
      </c>
      <c r="H197" s="11">
        <f t="shared" si="26"/>
        <v>80099439.420000002</v>
      </c>
      <c r="I197" s="11">
        <f t="shared" si="26"/>
        <v>2656863.08</v>
      </c>
      <c r="J197" s="11">
        <f t="shared" si="26"/>
        <v>0</v>
      </c>
      <c r="K197" s="11">
        <f t="shared" si="26"/>
        <v>45907108.18</v>
      </c>
      <c r="L197" s="11">
        <f t="shared" si="26"/>
        <v>322947769.32000005</v>
      </c>
    </row>
    <row r="198" spans="1:12" x14ac:dyDescent="0.35">
      <c r="A198" s="207">
        <v>2023</v>
      </c>
      <c r="B198" s="11">
        <f>SUM(B158:B169)</f>
        <v>12058816.66</v>
      </c>
      <c r="C198" s="11">
        <f>SUM(C158:C169)</f>
        <v>9200143.1300000008</v>
      </c>
      <c r="D198" s="11">
        <f t="shared" ref="D198:L198" si="27">SUM(D158:D169)</f>
        <v>2591055</v>
      </c>
      <c r="E198" s="11">
        <f t="shared" si="27"/>
        <v>112195132.31</v>
      </c>
      <c r="F198" s="11">
        <f t="shared" si="27"/>
        <v>35083844.619999997</v>
      </c>
      <c r="G198" s="11">
        <f t="shared" si="27"/>
        <v>1066310.1100000001</v>
      </c>
      <c r="H198" s="11">
        <f t="shared" si="27"/>
        <v>62040707.300000004</v>
      </c>
      <c r="I198" s="11">
        <f t="shared" si="27"/>
        <v>2469071.04</v>
      </c>
      <c r="J198" s="11">
        <f t="shared" si="27"/>
        <v>4161</v>
      </c>
      <c r="K198" s="11">
        <f t="shared" si="27"/>
        <v>42525530.689999998</v>
      </c>
      <c r="L198" s="11">
        <f t="shared" si="27"/>
        <v>279234771.86000001</v>
      </c>
    </row>
    <row r="199" spans="1:12" ht="15" thickBot="1" x14ac:dyDescent="0.4">
      <c r="A199" s="206" t="s">
        <v>12</v>
      </c>
      <c r="B199" s="46">
        <f>SUM(B170:B181)</f>
        <v>9978409.4399999995</v>
      </c>
      <c r="C199" s="46">
        <f>SUM(C170:C181)</f>
        <v>10695970.08</v>
      </c>
      <c r="D199" s="46">
        <f t="shared" ref="D199:L199" si="28">SUM(D170:D181)</f>
        <v>2537090.4</v>
      </c>
      <c r="E199" s="46">
        <f t="shared" si="28"/>
        <v>108470234.85999998</v>
      </c>
      <c r="F199" s="46">
        <f t="shared" si="28"/>
        <v>35949344.310000002</v>
      </c>
      <c r="G199" s="46">
        <f t="shared" si="28"/>
        <v>1486963.37</v>
      </c>
      <c r="H199" s="46">
        <f t="shared" si="28"/>
        <v>62934164.980000004</v>
      </c>
      <c r="I199" s="46">
        <f t="shared" si="28"/>
        <v>1984705.04</v>
      </c>
      <c r="J199" s="46">
        <f t="shared" si="28"/>
        <v>0</v>
      </c>
      <c r="K199" s="46">
        <f t="shared" si="28"/>
        <v>45163158.68999999</v>
      </c>
      <c r="L199" s="46">
        <f t="shared" si="28"/>
        <v>279200041.17000002</v>
      </c>
    </row>
    <row r="200" spans="1:12" ht="15" thickBot="1" x14ac:dyDescent="0.4">
      <c r="A200" s="16"/>
      <c r="B200" s="12"/>
      <c r="C200" s="12"/>
      <c r="D200" s="12"/>
      <c r="E200" s="12"/>
      <c r="F200" s="12"/>
      <c r="G200" s="12"/>
    </row>
    <row r="201" spans="1:12" ht="15" thickBot="1" x14ac:dyDescent="0.4">
      <c r="A201" s="87"/>
      <c r="B201" s="21" t="s">
        <v>260</v>
      </c>
      <c r="C201" s="22" t="s">
        <v>261</v>
      </c>
      <c r="D201" s="21" t="s">
        <v>262</v>
      </c>
      <c r="E201" s="22" t="s">
        <v>263</v>
      </c>
      <c r="F201" s="21" t="s">
        <v>264</v>
      </c>
      <c r="G201" s="22" t="s">
        <v>265</v>
      </c>
      <c r="H201" s="21" t="s">
        <v>266</v>
      </c>
      <c r="I201" s="88" t="s">
        <v>267</v>
      </c>
      <c r="J201" s="21" t="s">
        <v>268</v>
      </c>
      <c r="K201" s="86" t="s">
        <v>269</v>
      </c>
      <c r="L201" s="21" t="s">
        <v>270</v>
      </c>
    </row>
    <row r="202" spans="1:12" x14ac:dyDescent="0.35">
      <c r="A202" s="188" t="s">
        <v>11</v>
      </c>
      <c r="B202" s="91">
        <f>SUM(B158:B169)</f>
        <v>12058816.66</v>
      </c>
      <c r="C202" s="91">
        <f>SUM(C158:C169)</f>
        <v>9200143.1300000008</v>
      </c>
      <c r="D202" s="91">
        <f t="shared" ref="D202:L202" si="29">SUM(D158:D169)</f>
        <v>2591055</v>
      </c>
      <c r="E202" s="91">
        <f t="shared" si="29"/>
        <v>112195132.31</v>
      </c>
      <c r="F202" s="91">
        <f t="shared" si="29"/>
        <v>35083844.619999997</v>
      </c>
      <c r="G202" s="91">
        <f t="shared" si="29"/>
        <v>1066310.1100000001</v>
      </c>
      <c r="H202" s="91">
        <f t="shared" si="29"/>
        <v>62040707.300000004</v>
      </c>
      <c r="I202" s="91">
        <f t="shared" si="29"/>
        <v>2469071.04</v>
      </c>
      <c r="J202" s="91">
        <f t="shared" si="29"/>
        <v>4161</v>
      </c>
      <c r="K202" s="91">
        <f t="shared" si="29"/>
        <v>42525530.689999998</v>
      </c>
      <c r="L202" s="91">
        <f t="shared" si="29"/>
        <v>279234771.86000001</v>
      </c>
    </row>
    <row r="203" spans="1:12" x14ac:dyDescent="0.35">
      <c r="A203" s="188" t="s">
        <v>12</v>
      </c>
      <c r="B203" s="91">
        <f>SUM(B170:B181)</f>
        <v>9978409.4399999995</v>
      </c>
      <c r="C203" s="91">
        <f>SUM(C170:C181)</f>
        <v>10695970.08</v>
      </c>
      <c r="D203" s="91">
        <f t="shared" ref="D203:L203" si="30">SUM(D170:D181)</f>
        <v>2537090.4</v>
      </c>
      <c r="E203" s="91">
        <f t="shared" si="30"/>
        <v>108470234.85999998</v>
      </c>
      <c r="F203" s="91">
        <f t="shared" si="30"/>
        <v>35949344.310000002</v>
      </c>
      <c r="G203" s="91">
        <f t="shared" si="30"/>
        <v>1486963.37</v>
      </c>
      <c r="H203" s="91">
        <f t="shared" si="30"/>
        <v>62934164.980000004</v>
      </c>
      <c r="I203" s="91">
        <f t="shared" si="30"/>
        <v>1984705.04</v>
      </c>
      <c r="J203" s="91">
        <f t="shared" si="30"/>
        <v>0</v>
      </c>
      <c r="K203" s="91">
        <f t="shared" si="30"/>
        <v>45163158.68999999</v>
      </c>
      <c r="L203" s="91">
        <f t="shared" si="30"/>
        <v>279200041.17000002</v>
      </c>
    </row>
    <row r="204" spans="1:12" ht="29.5" thickBot="1" x14ac:dyDescent="0.4">
      <c r="A204" s="83" t="s">
        <v>28</v>
      </c>
      <c r="B204" s="92">
        <f>(B203-B202)/B202</f>
        <v>-0.17252167261990703</v>
      </c>
      <c r="C204" s="82">
        <f t="shared" ref="C204:L204" si="31">(C203-C202)/C202</f>
        <v>0.16258735639909541</v>
      </c>
      <c r="D204" s="92">
        <f t="shared" si="31"/>
        <v>-2.0827269201155549E-2</v>
      </c>
      <c r="E204" s="82">
        <f t="shared" si="31"/>
        <v>-3.3200169858599256E-2</v>
      </c>
      <c r="F204" s="92">
        <f t="shared" si="31"/>
        <v>2.4669465372863266E-2</v>
      </c>
      <c r="G204" s="82">
        <f t="shared" si="31"/>
        <v>0.39449429959920379</v>
      </c>
      <c r="H204" s="92">
        <f t="shared" si="31"/>
        <v>1.4401152386604072E-2</v>
      </c>
      <c r="I204" s="82">
        <f t="shared" si="31"/>
        <v>-0.19617337539222848</v>
      </c>
      <c r="J204" s="92">
        <f>(J203-J202)/J202</f>
        <v>-1</v>
      </c>
      <c r="K204" s="82">
        <f t="shared" si="31"/>
        <v>6.2024575759620997E-2</v>
      </c>
      <c r="L204" s="92">
        <f t="shared" si="31"/>
        <v>-1.2437809864672064E-4</v>
      </c>
    </row>
    <row r="205" spans="1:12" ht="15" thickBot="1" x14ac:dyDescent="0.4">
      <c r="A205" s="16"/>
      <c r="B205" s="12"/>
      <c r="C205" s="12"/>
      <c r="D205" s="12"/>
      <c r="E205" s="12"/>
      <c r="F205" s="12"/>
      <c r="G205" s="12"/>
    </row>
    <row r="206" spans="1:12" ht="15" thickBot="1" x14ac:dyDescent="0.4">
      <c r="A206" s="20"/>
      <c r="B206" s="38" t="s">
        <v>260</v>
      </c>
      <c r="C206" s="39" t="s">
        <v>261</v>
      </c>
      <c r="D206" s="38" t="s">
        <v>262</v>
      </c>
      <c r="E206" s="39" t="s">
        <v>263</v>
      </c>
      <c r="F206" s="38" t="s">
        <v>264</v>
      </c>
      <c r="G206" s="39" t="s">
        <v>265</v>
      </c>
      <c r="H206" s="38" t="s">
        <v>266</v>
      </c>
      <c r="I206" s="79" t="s">
        <v>267</v>
      </c>
      <c r="J206" s="38" t="s">
        <v>268</v>
      </c>
      <c r="K206" s="80" t="s">
        <v>269</v>
      </c>
      <c r="L206" s="38" t="s">
        <v>270</v>
      </c>
    </row>
    <row r="207" spans="1:12" ht="29" x14ac:dyDescent="0.35">
      <c r="A207" s="84" t="s">
        <v>17</v>
      </c>
      <c r="B207" s="91">
        <f>B169</f>
        <v>813597.44</v>
      </c>
      <c r="C207" s="91">
        <f>C169</f>
        <v>848721.42</v>
      </c>
      <c r="D207" s="91">
        <f t="shared" ref="D207:L207" si="32">D169</f>
        <v>211260.67</v>
      </c>
      <c r="E207" s="91">
        <f t="shared" si="32"/>
        <v>9061320.1999999993</v>
      </c>
      <c r="F207" s="91">
        <f t="shared" si="32"/>
        <v>3425088.43</v>
      </c>
      <c r="G207" s="91">
        <f t="shared" si="32"/>
        <v>93472.6</v>
      </c>
      <c r="H207" s="91">
        <f t="shared" si="32"/>
        <v>5983707.1299999999</v>
      </c>
      <c r="I207" s="91">
        <f t="shared" si="32"/>
        <v>162977.07999999999</v>
      </c>
      <c r="J207" s="91">
        <f t="shared" si="32"/>
        <v>0</v>
      </c>
      <c r="K207" s="91">
        <f t="shared" si="32"/>
        <v>3982512</v>
      </c>
      <c r="L207" s="91">
        <f t="shared" si="32"/>
        <v>24582656.969999995</v>
      </c>
    </row>
    <row r="208" spans="1:12" ht="29" x14ac:dyDescent="0.35">
      <c r="A208" s="84" t="s">
        <v>18</v>
      </c>
      <c r="B208" s="91">
        <f>B181</f>
        <v>923682.08</v>
      </c>
      <c r="C208" s="91">
        <f>C181</f>
        <v>957068.75</v>
      </c>
      <c r="D208" s="91">
        <f t="shared" ref="D208:L208" si="33">D181</f>
        <v>182453.25</v>
      </c>
      <c r="E208" s="91">
        <f t="shared" si="33"/>
        <v>9130017.3900000006</v>
      </c>
      <c r="F208" s="91">
        <f t="shared" si="33"/>
        <v>2296413.06</v>
      </c>
      <c r="G208" s="91">
        <f t="shared" si="33"/>
        <v>197799.6</v>
      </c>
      <c r="H208" s="91">
        <f t="shared" si="33"/>
        <v>5160410.66</v>
      </c>
      <c r="I208" s="91">
        <f t="shared" si="33"/>
        <v>180078.69</v>
      </c>
      <c r="J208" s="91">
        <f t="shared" si="33"/>
        <v>0</v>
      </c>
      <c r="K208" s="91">
        <f t="shared" si="33"/>
        <v>4597246.37</v>
      </c>
      <c r="L208" s="91">
        <f t="shared" si="33"/>
        <v>23625169.850000001</v>
      </c>
    </row>
    <row r="209" spans="1:12" ht="29.5" thickBot="1" x14ac:dyDescent="0.4">
      <c r="A209" s="83" t="s">
        <v>28</v>
      </c>
      <c r="B209" s="92">
        <f>(B208-B207)/B207</f>
        <v>0.13530603046145281</v>
      </c>
      <c r="C209" s="82">
        <f t="shared" ref="C209:L209" si="34">(C208-C207)/C207</f>
        <v>0.12765947394140228</v>
      </c>
      <c r="D209" s="92">
        <f t="shared" si="34"/>
        <v>-0.13635959783711757</v>
      </c>
      <c r="E209" s="82">
        <f t="shared" si="34"/>
        <v>7.581366565106191E-3</v>
      </c>
      <c r="F209" s="92">
        <f t="shared" si="34"/>
        <v>-0.32953174584166872</v>
      </c>
      <c r="G209" s="82">
        <f t="shared" si="34"/>
        <v>1.1161238694547921</v>
      </c>
      <c r="H209" s="92">
        <f>(H208-H207)/H207</f>
        <v>-0.13758970018307026</v>
      </c>
      <c r="I209" s="82">
        <f>(I208-I207)/I207</f>
        <v>0.10493260770164747</v>
      </c>
      <c r="J209" s="92" t="e">
        <f>(J208-J207)/J207</f>
        <v>#DIV/0!</v>
      </c>
      <c r="K209" s="82">
        <f t="shared" si="34"/>
        <v>0.15435844763305173</v>
      </c>
      <c r="L209" s="92">
        <f t="shared" si="34"/>
        <v>-3.8949700236572668E-2</v>
      </c>
    </row>
  </sheetData>
  <pageMargins left="0.7" right="0.7" top="0.75" bottom="0.75" header="0.3" footer="0.3"/>
  <pageSetup orientation="portrait" r:id="rId1"/>
  <ignoredErrors>
    <ignoredError sqref="L1:L101 B185:K185 L204 L103:L104 L106:L109 L110 K204 B204:I204 L113:L121 L112 L122:L145 L146:L157 B197:E197 F197:L197" formulaRange="1"/>
    <ignoredError sqref="J204" evalError="1" formulaRange="1"/>
    <ignoredError sqref="J205:J206 J209"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09"/>
  <sheetViews>
    <sheetView workbookViewId="0">
      <pane ySplit="1" topLeftCell="A177" activePane="bottomLeft" state="frozen"/>
      <selection pane="bottomLeft" activeCell="K219" sqref="K219"/>
    </sheetView>
  </sheetViews>
  <sheetFormatPr defaultColWidth="15" defaultRowHeight="14.5" x14ac:dyDescent="0.35"/>
  <cols>
    <col min="1" max="1" width="14.453125" bestFit="1" customWidth="1"/>
    <col min="2" max="2" width="13.81640625" bestFit="1" customWidth="1"/>
    <col min="3" max="3" width="18.54296875" bestFit="1" customWidth="1"/>
    <col min="4" max="4" width="16.453125" bestFit="1" customWidth="1"/>
    <col min="5" max="5" width="16.81640625" bestFit="1" customWidth="1"/>
    <col min="6" max="6" width="19.54296875" bestFit="1" customWidth="1"/>
    <col min="7" max="7" width="16" bestFit="1" customWidth="1"/>
    <col min="8" max="8" width="15.54296875" bestFit="1" customWidth="1"/>
    <col min="10" max="10" width="14.54296875" bestFit="1" customWidth="1"/>
    <col min="11" max="11" width="13.54296875" bestFit="1" customWidth="1"/>
    <col min="12" max="12" width="26.54296875" bestFit="1" customWidth="1"/>
  </cols>
  <sheetData>
    <row r="1" spans="1:12" ht="22.5" customHeight="1" x14ac:dyDescent="0.35">
      <c r="A1" s="32" t="s">
        <v>0</v>
      </c>
      <c r="B1" s="33" t="s">
        <v>271</v>
      </c>
      <c r="C1" s="34" t="s">
        <v>272</v>
      </c>
      <c r="D1" s="35" t="s">
        <v>273</v>
      </c>
      <c r="E1" s="35" t="s">
        <v>274</v>
      </c>
      <c r="F1" s="35" t="s">
        <v>275</v>
      </c>
      <c r="G1" s="35" t="s">
        <v>276</v>
      </c>
      <c r="H1" s="35" t="s">
        <v>277</v>
      </c>
      <c r="I1" s="35" t="s">
        <v>278</v>
      </c>
      <c r="J1" s="35" t="s">
        <v>279</v>
      </c>
      <c r="K1" s="35" t="s">
        <v>280</v>
      </c>
      <c r="L1" s="35" t="s">
        <v>281</v>
      </c>
    </row>
    <row r="2" spans="1:12" x14ac:dyDescent="0.35">
      <c r="A2" s="7">
        <v>40179</v>
      </c>
      <c r="B2" s="11">
        <v>566887</v>
      </c>
      <c r="C2" s="9">
        <v>12426408</v>
      </c>
      <c r="D2" s="10">
        <v>6233431</v>
      </c>
      <c r="E2" s="10">
        <v>4820153</v>
      </c>
      <c r="F2" s="10">
        <v>585475</v>
      </c>
      <c r="G2" s="10">
        <v>5428</v>
      </c>
      <c r="H2" s="10">
        <v>0</v>
      </c>
      <c r="I2" s="10">
        <v>7048</v>
      </c>
      <c r="J2" s="10">
        <v>0</v>
      </c>
      <c r="K2" s="10">
        <v>1621899</v>
      </c>
      <c r="L2" s="10">
        <f>SUM(B2:K2)</f>
        <v>26266729</v>
      </c>
    </row>
    <row r="3" spans="1:12" x14ac:dyDescent="0.35">
      <c r="A3" s="7">
        <v>40210</v>
      </c>
      <c r="B3" s="11">
        <v>599824</v>
      </c>
      <c r="C3" s="9">
        <v>12396356</v>
      </c>
      <c r="D3" s="10">
        <v>6665961</v>
      </c>
      <c r="E3" s="10">
        <v>5438411</v>
      </c>
      <c r="F3" s="10">
        <v>626747</v>
      </c>
      <c r="G3" s="10">
        <v>3958</v>
      </c>
      <c r="H3" s="10">
        <v>0</v>
      </c>
      <c r="I3" s="10">
        <v>10265</v>
      </c>
      <c r="J3" s="10">
        <v>0</v>
      </c>
      <c r="K3" s="10">
        <v>1403186</v>
      </c>
      <c r="L3" s="10">
        <f t="shared" ref="L3:L66" si="0">SUM(B3:K3)</f>
        <v>27144708</v>
      </c>
    </row>
    <row r="4" spans="1:12" x14ac:dyDescent="0.35">
      <c r="A4" s="7">
        <v>40238</v>
      </c>
      <c r="B4" s="11">
        <v>803400</v>
      </c>
      <c r="C4" s="9">
        <v>21131161</v>
      </c>
      <c r="D4" s="10">
        <v>7178720</v>
      </c>
      <c r="E4" s="10">
        <v>7954121</v>
      </c>
      <c r="F4" s="10">
        <v>927923</v>
      </c>
      <c r="G4" s="10">
        <v>2976</v>
      </c>
      <c r="H4" s="10">
        <v>0</v>
      </c>
      <c r="I4" s="10">
        <v>19122</v>
      </c>
      <c r="J4" s="10">
        <v>0</v>
      </c>
      <c r="K4" s="10">
        <v>1765258</v>
      </c>
      <c r="L4" s="10">
        <f t="shared" si="0"/>
        <v>39782681</v>
      </c>
    </row>
    <row r="5" spans="1:12" x14ac:dyDescent="0.35">
      <c r="A5" s="7">
        <v>40269</v>
      </c>
      <c r="B5" s="11">
        <v>601077</v>
      </c>
      <c r="C5" s="9">
        <v>19129345</v>
      </c>
      <c r="D5" s="10">
        <v>6753606</v>
      </c>
      <c r="E5" s="10">
        <v>5742058</v>
      </c>
      <c r="F5" s="10">
        <v>1136003</v>
      </c>
      <c r="G5" s="10">
        <v>6479</v>
      </c>
      <c r="H5" s="10">
        <v>0</v>
      </c>
      <c r="I5" s="10">
        <v>14006</v>
      </c>
      <c r="J5" s="10">
        <v>0</v>
      </c>
      <c r="K5" s="10">
        <v>1339265</v>
      </c>
      <c r="L5" s="10">
        <f t="shared" si="0"/>
        <v>34721839</v>
      </c>
    </row>
    <row r="6" spans="1:12" x14ac:dyDescent="0.35">
      <c r="A6" s="7">
        <v>40299</v>
      </c>
      <c r="B6" s="11">
        <v>569789</v>
      </c>
      <c r="C6" s="9">
        <v>17748258</v>
      </c>
      <c r="D6" s="10">
        <v>5537132</v>
      </c>
      <c r="E6" s="10">
        <v>4175266</v>
      </c>
      <c r="F6" s="10">
        <v>1224611</v>
      </c>
      <c r="G6" s="10">
        <v>19755</v>
      </c>
      <c r="H6" s="10">
        <v>0</v>
      </c>
      <c r="I6" s="10">
        <v>6368</v>
      </c>
      <c r="J6" s="10">
        <v>0</v>
      </c>
      <c r="K6" s="10">
        <v>1362884</v>
      </c>
      <c r="L6" s="10">
        <f t="shared" si="0"/>
        <v>30644063</v>
      </c>
    </row>
    <row r="7" spans="1:12" x14ac:dyDescent="0.35">
      <c r="A7" s="7">
        <v>40330</v>
      </c>
      <c r="B7" s="11">
        <v>703199</v>
      </c>
      <c r="C7" s="9">
        <v>20238321</v>
      </c>
      <c r="D7" s="10">
        <v>6236711</v>
      </c>
      <c r="E7" s="10">
        <v>10367315</v>
      </c>
      <c r="F7" s="10">
        <v>1208270</v>
      </c>
      <c r="G7" s="10">
        <v>2762</v>
      </c>
      <c r="H7" s="10">
        <v>3412</v>
      </c>
      <c r="I7" s="10">
        <v>5002</v>
      </c>
      <c r="J7" s="10">
        <v>0</v>
      </c>
      <c r="K7" s="10">
        <v>1279129</v>
      </c>
      <c r="L7" s="10">
        <f t="shared" si="0"/>
        <v>40044121</v>
      </c>
    </row>
    <row r="8" spans="1:12" x14ac:dyDescent="0.35">
      <c r="A8" s="7">
        <v>40360</v>
      </c>
      <c r="B8" s="11">
        <v>648441</v>
      </c>
      <c r="C8" s="9">
        <v>16236279</v>
      </c>
      <c r="D8" s="10">
        <v>6032259</v>
      </c>
      <c r="E8" s="10">
        <v>7701898</v>
      </c>
      <c r="F8" s="10">
        <v>1710241</v>
      </c>
      <c r="G8" s="10">
        <v>11844</v>
      </c>
      <c r="H8" s="10">
        <v>0</v>
      </c>
      <c r="I8" s="10">
        <v>11831</v>
      </c>
      <c r="J8" s="10">
        <v>0</v>
      </c>
      <c r="K8" s="10">
        <v>1740596</v>
      </c>
      <c r="L8" s="10">
        <f t="shared" si="0"/>
        <v>34093389</v>
      </c>
    </row>
    <row r="9" spans="1:12" x14ac:dyDescent="0.35">
      <c r="A9" s="7">
        <v>40391</v>
      </c>
      <c r="B9" s="11">
        <v>710270</v>
      </c>
      <c r="C9" s="9">
        <v>14815496</v>
      </c>
      <c r="D9" s="10">
        <v>5138921</v>
      </c>
      <c r="E9" s="10">
        <v>4517575</v>
      </c>
      <c r="F9" s="10">
        <v>1321354</v>
      </c>
      <c r="G9" s="10">
        <v>13593</v>
      </c>
      <c r="H9" s="10">
        <v>0</v>
      </c>
      <c r="I9" s="10">
        <v>13257</v>
      </c>
      <c r="J9" s="10">
        <v>0</v>
      </c>
      <c r="K9" s="10">
        <v>1532671</v>
      </c>
      <c r="L9" s="10">
        <f t="shared" si="0"/>
        <v>28063137</v>
      </c>
    </row>
    <row r="10" spans="1:12" x14ac:dyDescent="0.35">
      <c r="A10" s="7">
        <v>40422</v>
      </c>
      <c r="B10" s="11">
        <v>892643</v>
      </c>
      <c r="C10" s="9">
        <v>18583245</v>
      </c>
      <c r="D10" s="10">
        <v>6230815</v>
      </c>
      <c r="E10" s="10">
        <v>9315032</v>
      </c>
      <c r="F10" s="10">
        <v>1071122</v>
      </c>
      <c r="G10" s="10">
        <v>5475</v>
      </c>
      <c r="H10" s="10">
        <v>0</v>
      </c>
      <c r="I10" s="10">
        <v>7103</v>
      </c>
      <c r="J10" s="10">
        <v>0</v>
      </c>
      <c r="K10" s="10">
        <v>1848595</v>
      </c>
      <c r="L10" s="10">
        <f t="shared" si="0"/>
        <v>37954030</v>
      </c>
    </row>
    <row r="11" spans="1:12" x14ac:dyDescent="0.35">
      <c r="A11" s="7">
        <v>40452</v>
      </c>
      <c r="B11" s="11">
        <v>797087</v>
      </c>
      <c r="C11" s="9">
        <v>15823817</v>
      </c>
      <c r="D11" s="10">
        <v>5585788</v>
      </c>
      <c r="E11" s="10">
        <v>3789515</v>
      </c>
      <c r="F11" s="10">
        <v>748917</v>
      </c>
      <c r="G11" s="10">
        <v>6328</v>
      </c>
      <c r="H11" s="10">
        <v>0</v>
      </c>
      <c r="I11" s="10">
        <v>2864</v>
      </c>
      <c r="J11" s="10">
        <v>0</v>
      </c>
      <c r="K11" s="10">
        <v>2052081</v>
      </c>
      <c r="L11" s="10">
        <f t="shared" si="0"/>
        <v>28806397</v>
      </c>
    </row>
    <row r="12" spans="1:12" x14ac:dyDescent="0.35">
      <c r="A12" s="7">
        <v>40483</v>
      </c>
      <c r="B12" s="11">
        <v>554765</v>
      </c>
      <c r="C12" s="9">
        <v>14487467</v>
      </c>
      <c r="D12" s="10">
        <v>4630847</v>
      </c>
      <c r="E12" s="10">
        <v>5144425</v>
      </c>
      <c r="F12" s="10">
        <v>810238</v>
      </c>
      <c r="G12" s="10">
        <v>11893</v>
      </c>
      <c r="H12" s="10">
        <v>0</v>
      </c>
      <c r="I12" s="10">
        <v>2937</v>
      </c>
      <c r="J12" s="10">
        <v>0</v>
      </c>
      <c r="K12" s="10">
        <v>1940455</v>
      </c>
      <c r="L12" s="10">
        <f t="shared" si="0"/>
        <v>27583027</v>
      </c>
    </row>
    <row r="13" spans="1:12" x14ac:dyDescent="0.35">
      <c r="A13" s="7">
        <v>40513</v>
      </c>
      <c r="B13" s="11">
        <v>662656</v>
      </c>
      <c r="C13" s="9">
        <v>16865928</v>
      </c>
      <c r="D13" s="10">
        <v>5077738</v>
      </c>
      <c r="E13" s="10">
        <v>7160138</v>
      </c>
      <c r="F13" s="10">
        <v>1136076</v>
      </c>
      <c r="G13" s="10">
        <v>16703</v>
      </c>
      <c r="H13" s="10">
        <v>0</v>
      </c>
      <c r="I13" s="10">
        <v>11302</v>
      </c>
      <c r="J13" s="10">
        <v>0</v>
      </c>
      <c r="K13" s="10">
        <v>1455392</v>
      </c>
      <c r="L13" s="10">
        <f t="shared" si="0"/>
        <v>32385933</v>
      </c>
    </row>
    <row r="14" spans="1:12" x14ac:dyDescent="0.35">
      <c r="A14" s="7">
        <v>40544</v>
      </c>
      <c r="B14" s="11">
        <v>800904</v>
      </c>
      <c r="C14" s="9">
        <v>12623955</v>
      </c>
      <c r="D14" s="10">
        <v>4486482</v>
      </c>
      <c r="E14" s="10">
        <v>4773497</v>
      </c>
      <c r="F14" s="10">
        <v>534729</v>
      </c>
      <c r="G14" s="10">
        <v>1503</v>
      </c>
      <c r="H14" s="10">
        <v>0</v>
      </c>
      <c r="I14" s="10">
        <v>7480</v>
      </c>
      <c r="J14" s="10">
        <v>0</v>
      </c>
      <c r="K14" s="10">
        <v>1657917</v>
      </c>
      <c r="L14" s="10">
        <f t="shared" si="0"/>
        <v>24886467</v>
      </c>
    </row>
    <row r="15" spans="1:12" x14ac:dyDescent="0.35">
      <c r="A15" s="7">
        <v>40575</v>
      </c>
      <c r="B15" s="11">
        <v>620380</v>
      </c>
      <c r="C15" s="9">
        <v>13964076</v>
      </c>
      <c r="D15" s="10">
        <v>4786471</v>
      </c>
      <c r="E15" s="10">
        <v>5117849</v>
      </c>
      <c r="F15" s="10">
        <v>630806</v>
      </c>
      <c r="G15" s="10">
        <v>11047</v>
      </c>
      <c r="H15" s="10">
        <v>0</v>
      </c>
      <c r="I15" s="10">
        <v>2660</v>
      </c>
      <c r="J15" s="10">
        <v>0</v>
      </c>
      <c r="K15" s="10">
        <v>1675765</v>
      </c>
      <c r="L15" s="10">
        <f t="shared" si="0"/>
        <v>26809054</v>
      </c>
    </row>
    <row r="16" spans="1:12" x14ac:dyDescent="0.35">
      <c r="A16" s="7">
        <v>40603</v>
      </c>
      <c r="B16" s="11">
        <v>861785</v>
      </c>
      <c r="C16" s="9">
        <v>23172341</v>
      </c>
      <c r="D16" s="10">
        <v>7879721</v>
      </c>
      <c r="E16" s="10">
        <v>13469202</v>
      </c>
      <c r="F16" s="10">
        <v>992177</v>
      </c>
      <c r="G16" s="10">
        <v>10735</v>
      </c>
      <c r="H16" s="10">
        <v>938</v>
      </c>
      <c r="I16" s="10">
        <v>23728</v>
      </c>
      <c r="J16" s="10">
        <v>0</v>
      </c>
      <c r="K16" s="10">
        <v>2758417</v>
      </c>
      <c r="L16" s="10">
        <f t="shared" si="0"/>
        <v>49169044</v>
      </c>
    </row>
    <row r="17" spans="1:12" x14ac:dyDescent="0.35">
      <c r="A17" s="7">
        <v>40634</v>
      </c>
      <c r="B17" s="11">
        <v>719012</v>
      </c>
      <c r="C17" s="9">
        <v>20585325</v>
      </c>
      <c r="D17" s="10">
        <v>6863224</v>
      </c>
      <c r="E17" s="10">
        <v>5784176</v>
      </c>
      <c r="F17" s="10">
        <v>1009015</v>
      </c>
      <c r="G17" s="10">
        <v>5954</v>
      </c>
      <c r="H17" s="10">
        <v>20242</v>
      </c>
      <c r="I17" s="10">
        <v>5710</v>
      </c>
      <c r="J17" s="10">
        <v>0</v>
      </c>
      <c r="K17" s="10">
        <v>1803367</v>
      </c>
      <c r="L17" s="10">
        <f t="shared" si="0"/>
        <v>36796025</v>
      </c>
    </row>
    <row r="18" spans="1:12" x14ac:dyDescent="0.35">
      <c r="A18" s="7">
        <v>40664</v>
      </c>
      <c r="B18" s="11">
        <v>686569</v>
      </c>
      <c r="C18" s="9">
        <v>18211520</v>
      </c>
      <c r="D18" s="10">
        <v>6603119</v>
      </c>
      <c r="E18" s="10">
        <v>6061808</v>
      </c>
      <c r="F18" s="10">
        <v>1488993</v>
      </c>
      <c r="G18" s="10">
        <v>5913</v>
      </c>
      <c r="H18" s="10">
        <v>37423</v>
      </c>
      <c r="I18" s="10">
        <v>9540</v>
      </c>
      <c r="J18" s="10">
        <v>0</v>
      </c>
      <c r="K18" s="10">
        <v>3588031</v>
      </c>
      <c r="L18" s="10">
        <f t="shared" si="0"/>
        <v>36692916</v>
      </c>
    </row>
    <row r="19" spans="1:12" x14ac:dyDescent="0.35">
      <c r="A19" s="7">
        <v>40695</v>
      </c>
      <c r="B19" s="11">
        <v>1778356</v>
      </c>
      <c r="C19" s="9">
        <v>21481548</v>
      </c>
      <c r="D19" s="10">
        <v>6954483</v>
      </c>
      <c r="E19" s="10">
        <v>8987044</v>
      </c>
      <c r="F19" s="10">
        <v>1507652</v>
      </c>
      <c r="G19" s="10">
        <v>7965</v>
      </c>
      <c r="H19" s="10">
        <v>23686</v>
      </c>
      <c r="I19" s="10">
        <v>26984</v>
      </c>
      <c r="J19" s="10">
        <v>0</v>
      </c>
      <c r="K19" s="10">
        <v>1881323</v>
      </c>
      <c r="L19" s="10">
        <f t="shared" si="0"/>
        <v>42649041</v>
      </c>
    </row>
    <row r="20" spans="1:12" x14ac:dyDescent="0.35">
      <c r="A20" s="7">
        <v>40725</v>
      </c>
      <c r="B20" s="11">
        <v>648441</v>
      </c>
      <c r="C20" s="9">
        <v>16252574</v>
      </c>
      <c r="D20" s="10">
        <v>6070007</v>
      </c>
      <c r="E20" s="10">
        <v>7740857</v>
      </c>
      <c r="F20" s="10">
        <v>1710241</v>
      </c>
      <c r="G20" s="10">
        <v>11844</v>
      </c>
      <c r="H20" s="10">
        <v>0</v>
      </c>
      <c r="I20" s="10">
        <v>11831</v>
      </c>
      <c r="J20" s="10">
        <v>0</v>
      </c>
      <c r="K20" s="10">
        <v>1737805</v>
      </c>
      <c r="L20" s="10">
        <f t="shared" si="0"/>
        <v>34183600</v>
      </c>
    </row>
    <row r="21" spans="1:12" x14ac:dyDescent="0.35">
      <c r="A21" s="7">
        <v>40756</v>
      </c>
      <c r="B21" s="11">
        <v>783703</v>
      </c>
      <c r="C21" s="9">
        <v>17453843</v>
      </c>
      <c r="D21" s="10">
        <v>7013491</v>
      </c>
      <c r="E21" s="10">
        <v>4868183</v>
      </c>
      <c r="F21" s="10">
        <v>1554384</v>
      </c>
      <c r="G21" s="10">
        <v>22067</v>
      </c>
      <c r="H21" s="10">
        <v>48023</v>
      </c>
      <c r="I21" s="10">
        <v>25806</v>
      </c>
      <c r="J21" s="10">
        <v>0</v>
      </c>
      <c r="K21" s="10">
        <v>1626596</v>
      </c>
      <c r="L21" s="10">
        <f t="shared" si="0"/>
        <v>33396096</v>
      </c>
    </row>
    <row r="22" spans="1:12" x14ac:dyDescent="0.35">
      <c r="A22" s="7">
        <v>40787</v>
      </c>
      <c r="B22" s="11">
        <v>1870393</v>
      </c>
      <c r="C22" s="9">
        <v>19008099</v>
      </c>
      <c r="D22" s="10">
        <v>5626231</v>
      </c>
      <c r="E22" s="10">
        <v>10533697</v>
      </c>
      <c r="F22" s="10">
        <v>1038190</v>
      </c>
      <c r="G22" s="10">
        <v>21678</v>
      </c>
      <c r="H22" s="10">
        <v>39379</v>
      </c>
      <c r="I22" s="10">
        <v>7562</v>
      </c>
      <c r="J22" s="10">
        <v>0</v>
      </c>
      <c r="K22" s="10">
        <v>2271932</v>
      </c>
      <c r="L22" s="10">
        <f t="shared" si="0"/>
        <v>40417161</v>
      </c>
    </row>
    <row r="23" spans="1:12" x14ac:dyDescent="0.35">
      <c r="A23" s="7">
        <v>40817</v>
      </c>
      <c r="B23" s="11">
        <v>461556</v>
      </c>
      <c r="C23" s="9">
        <v>16798386</v>
      </c>
      <c r="D23" s="10">
        <v>5697930</v>
      </c>
      <c r="E23" s="10">
        <v>7482135</v>
      </c>
      <c r="F23" s="10">
        <v>991921</v>
      </c>
      <c r="G23" s="10">
        <v>11482</v>
      </c>
      <c r="H23" s="10">
        <v>30524</v>
      </c>
      <c r="I23" s="10">
        <v>4563</v>
      </c>
      <c r="J23" s="10">
        <v>0</v>
      </c>
      <c r="K23" s="10">
        <v>3096327</v>
      </c>
      <c r="L23" s="10">
        <f t="shared" si="0"/>
        <v>34574824</v>
      </c>
    </row>
    <row r="24" spans="1:12" x14ac:dyDescent="0.35">
      <c r="A24" s="7">
        <v>40848</v>
      </c>
      <c r="B24" s="11">
        <v>621601</v>
      </c>
      <c r="C24" s="9">
        <v>15941843</v>
      </c>
      <c r="D24" s="10">
        <v>5097335</v>
      </c>
      <c r="E24" s="10">
        <v>8467214</v>
      </c>
      <c r="F24" s="10">
        <v>630156</v>
      </c>
      <c r="G24" s="10">
        <v>4031</v>
      </c>
      <c r="H24" s="10">
        <v>36918</v>
      </c>
      <c r="I24" s="10">
        <v>364860</v>
      </c>
      <c r="J24" s="10">
        <v>0</v>
      </c>
      <c r="K24" s="10">
        <v>1753124</v>
      </c>
      <c r="L24" s="10">
        <f t="shared" si="0"/>
        <v>32917082</v>
      </c>
    </row>
    <row r="25" spans="1:12" x14ac:dyDescent="0.35">
      <c r="A25" s="7">
        <v>40878</v>
      </c>
      <c r="B25" s="11">
        <v>498449</v>
      </c>
      <c r="C25" s="9">
        <v>18455429</v>
      </c>
      <c r="D25" s="10">
        <v>5131807</v>
      </c>
      <c r="E25" s="10">
        <v>9897806</v>
      </c>
      <c r="F25" s="10">
        <v>1102224</v>
      </c>
      <c r="G25" s="10">
        <v>6962</v>
      </c>
      <c r="H25" s="10">
        <v>48502</v>
      </c>
      <c r="I25" s="10">
        <v>15265</v>
      </c>
      <c r="J25" s="10">
        <v>0</v>
      </c>
      <c r="K25" s="10">
        <v>823004</v>
      </c>
      <c r="L25" s="10">
        <f t="shared" si="0"/>
        <v>35979448</v>
      </c>
    </row>
    <row r="26" spans="1:12" x14ac:dyDescent="0.35">
      <c r="A26" s="7">
        <v>40909</v>
      </c>
      <c r="B26" s="11">
        <v>681766</v>
      </c>
      <c r="C26" s="9">
        <v>16054098</v>
      </c>
      <c r="D26" s="10">
        <v>4534944</v>
      </c>
      <c r="E26" s="10">
        <v>9952962</v>
      </c>
      <c r="F26" s="10">
        <v>745481</v>
      </c>
      <c r="G26" s="10">
        <v>-599</v>
      </c>
      <c r="H26" s="10">
        <v>39611</v>
      </c>
      <c r="I26" s="10">
        <v>19570</v>
      </c>
      <c r="J26" s="10">
        <v>0</v>
      </c>
      <c r="K26" s="10">
        <v>1755389</v>
      </c>
      <c r="L26" s="10">
        <f t="shared" si="0"/>
        <v>33783222</v>
      </c>
    </row>
    <row r="27" spans="1:12" x14ac:dyDescent="0.35">
      <c r="A27" s="7">
        <v>40940</v>
      </c>
      <c r="B27" s="11">
        <v>983805</v>
      </c>
      <c r="C27" s="9">
        <v>14558227</v>
      </c>
      <c r="D27" s="10">
        <v>4128177</v>
      </c>
      <c r="E27" s="10">
        <v>10423914</v>
      </c>
      <c r="F27" s="10">
        <v>572630</v>
      </c>
      <c r="G27" s="10">
        <v>22095</v>
      </c>
      <c r="H27" s="10">
        <v>40709</v>
      </c>
      <c r="I27" s="10">
        <v>8825</v>
      </c>
      <c r="J27" s="10">
        <v>0</v>
      </c>
      <c r="K27" s="10">
        <v>1229453</v>
      </c>
      <c r="L27" s="10">
        <f t="shared" si="0"/>
        <v>31967835</v>
      </c>
    </row>
    <row r="28" spans="1:12" x14ac:dyDescent="0.35">
      <c r="A28" s="7">
        <v>40969</v>
      </c>
      <c r="B28" s="11">
        <v>1621083</v>
      </c>
      <c r="C28" s="9">
        <v>23872150</v>
      </c>
      <c r="D28" s="10">
        <v>6091531</v>
      </c>
      <c r="E28" s="10">
        <v>10872888</v>
      </c>
      <c r="F28" s="10">
        <v>1140928</v>
      </c>
      <c r="G28" s="10">
        <v>7580</v>
      </c>
      <c r="H28" s="10">
        <v>36218</v>
      </c>
      <c r="I28" s="10">
        <v>65459</v>
      </c>
      <c r="J28" s="10">
        <v>0</v>
      </c>
      <c r="K28" s="10">
        <v>1882601</v>
      </c>
      <c r="L28" s="10">
        <f t="shared" si="0"/>
        <v>45590438</v>
      </c>
    </row>
    <row r="29" spans="1:12" x14ac:dyDescent="0.35">
      <c r="A29" s="7">
        <v>41000</v>
      </c>
      <c r="B29" s="11">
        <v>883431</v>
      </c>
      <c r="C29" s="9">
        <v>19381125</v>
      </c>
      <c r="D29" s="10">
        <v>4923218</v>
      </c>
      <c r="E29" s="10">
        <v>9629889</v>
      </c>
      <c r="F29" s="10">
        <v>1061744</v>
      </c>
      <c r="G29" s="10">
        <v>10313</v>
      </c>
      <c r="H29" s="10">
        <v>77781</v>
      </c>
      <c r="I29" s="10">
        <v>304</v>
      </c>
      <c r="J29" s="10">
        <v>0</v>
      </c>
      <c r="K29" s="10">
        <v>2268510</v>
      </c>
      <c r="L29" s="10">
        <f t="shared" si="0"/>
        <v>38236315</v>
      </c>
    </row>
    <row r="30" spans="1:12" x14ac:dyDescent="0.35">
      <c r="A30" s="7">
        <v>41030</v>
      </c>
      <c r="B30" s="11">
        <v>1135871</v>
      </c>
      <c r="C30" s="9">
        <v>19969506</v>
      </c>
      <c r="D30" s="10">
        <v>5734584</v>
      </c>
      <c r="E30" s="10">
        <v>5850626</v>
      </c>
      <c r="F30" s="10">
        <v>1070792</v>
      </c>
      <c r="G30" s="10">
        <v>11624</v>
      </c>
      <c r="H30" s="10">
        <v>63168</v>
      </c>
      <c r="I30" s="10">
        <v>8787</v>
      </c>
      <c r="J30" s="10">
        <v>0</v>
      </c>
      <c r="K30" s="10">
        <v>1743653</v>
      </c>
      <c r="L30" s="10">
        <f t="shared" si="0"/>
        <v>35588611</v>
      </c>
    </row>
    <row r="31" spans="1:12" x14ac:dyDescent="0.35">
      <c r="A31" s="7">
        <v>41061</v>
      </c>
      <c r="B31" s="11">
        <v>1238785</v>
      </c>
      <c r="C31" s="9">
        <v>18215049</v>
      </c>
      <c r="D31" s="10">
        <v>5484848</v>
      </c>
      <c r="E31" s="10">
        <v>12587685</v>
      </c>
      <c r="F31" s="10">
        <v>1384437</v>
      </c>
      <c r="G31" s="10">
        <v>12870</v>
      </c>
      <c r="H31" s="10">
        <v>46451</v>
      </c>
      <c r="I31" s="10">
        <v>17832</v>
      </c>
      <c r="J31" s="10">
        <v>0</v>
      </c>
      <c r="K31" s="10">
        <v>1868877</v>
      </c>
      <c r="L31" s="10">
        <f t="shared" si="0"/>
        <v>40856834</v>
      </c>
    </row>
    <row r="32" spans="1:12" x14ac:dyDescent="0.35">
      <c r="A32" s="7">
        <v>41091</v>
      </c>
      <c r="B32" s="11">
        <v>740345</v>
      </c>
      <c r="C32" s="9">
        <v>17055784</v>
      </c>
      <c r="D32" s="10">
        <v>5149724</v>
      </c>
      <c r="E32" s="10">
        <v>14050620</v>
      </c>
      <c r="F32" s="10">
        <v>1050387</v>
      </c>
      <c r="G32" s="10">
        <v>3815</v>
      </c>
      <c r="H32" s="10">
        <v>48890</v>
      </c>
      <c r="I32" s="10">
        <v>2694</v>
      </c>
      <c r="J32" s="10">
        <v>0</v>
      </c>
      <c r="K32" s="10">
        <v>1591937</v>
      </c>
      <c r="L32" s="10">
        <f t="shared" si="0"/>
        <v>39694196</v>
      </c>
    </row>
    <row r="33" spans="1:12" x14ac:dyDescent="0.35">
      <c r="A33" s="7">
        <v>41122</v>
      </c>
      <c r="B33" s="11">
        <v>874974</v>
      </c>
      <c r="C33" s="9">
        <v>19356895</v>
      </c>
      <c r="D33" s="10">
        <v>5496725</v>
      </c>
      <c r="E33" s="10">
        <v>11239253</v>
      </c>
      <c r="F33" s="10">
        <v>1126133</v>
      </c>
      <c r="G33" s="10">
        <v>4652</v>
      </c>
      <c r="H33" s="10">
        <v>68290</v>
      </c>
      <c r="I33" s="10">
        <v>2580</v>
      </c>
      <c r="J33" s="10">
        <v>0</v>
      </c>
      <c r="K33" s="10">
        <v>2410569</v>
      </c>
      <c r="L33" s="10">
        <f t="shared" si="0"/>
        <v>40580071</v>
      </c>
    </row>
    <row r="34" spans="1:12" x14ac:dyDescent="0.35">
      <c r="A34" s="7">
        <v>41153</v>
      </c>
      <c r="B34" s="11">
        <v>1051477</v>
      </c>
      <c r="C34" s="9">
        <v>18904385</v>
      </c>
      <c r="D34" s="10">
        <v>5485235</v>
      </c>
      <c r="E34" s="10">
        <v>9767709</v>
      </c>
      <c r="F34" s="10">
        <v>1309226</v>
      </c>
      <c r="G34" s="10">
        <v>16914</v>
      </c>
      <c r="H34" s="10">
        <v>47015</v>
      </c>
      <c r="I34" s="10">
        <v>105235</v>
      </c>
      <c r="J34" s="10">
        <v>0</v>
      </c>
      <c r="K34" s="10">
        <v>2571475</v>
      </c>
      <c r="L34" s="10">
        <f t="shared" si="0"/>
        <v>39258671</v>
      </c>
    </row>
    <row r="35" spans="1:12" x14ac:dyDescent="0.35">
      <c r="A35" s="7">
        <v>41183</v>
      </c>
      <c r="B35" s="11">
        <v>1415019</v>
      </c>
      <c r="C35" s="9">
        <v>17225538</v>
      </c>
      <c r="D35" s="10">
        <v>5556659</v>
      </c>
      <c r="E35" s="10">
        <v>11545753</v>
      </c>
      <c r="F35" s="10">
        <v>948302</v>
      </c>
      <c r="G35" s="10">
        <v>6276</v>
      </c>
      <c r="H35" s="10">
        <v>85050</v>
      </c>
      <c r="I35" s="10">
        <v>33682</v>
      </c>
      <c r="J35" s="10">
        <v>0</v>
      </c>
      <c r="K35" s="10">
        <v>2002692</v>
      </c>
      <c r="L35" s="10">
        <f t="shared" si="0"/>
        <v>38818971</v>
      </c>
    </row>
    <row r="36" spans="1:12" x14ac:dyDescent="0.35">
      <c r="A36" s="7">
        <v>41214</v>
      </c>
      <c r="B36" s="11">
        <v>654948</v>
      </c>
      <c r="C36" s="9">
        <v>17222413</v>
      </c>
      <c r="D36" s="10">
        <v>5166982</v>
      </c>
      <c r="E36" s="10">
        <v>10358375</v>
      </c>
      <c r="F36" s="10">
        <v>505097</v>
      </c>
      <c r="G36" s="10">
        <v>4622</v>
      </c>
      <c r="H36" s="10">
        <v>72656</v>
      </c>
      <c r="I36" s="10">
        <v>74974</v>
      </c>
      <c r="J36" s="10">
        <v>0</v>
      </c>
      <c r="K36" s="10">
        <v>1308557</v>
      </c>
      <c r="L36" s="10">
        <f t="shared" si="0"/>
        <v>35368624</v>
      </c>
    </row>
    <row r="37" spans="1:12" x14ac:dyDescent="0.35">
      <c r="A37" s="7">
        <v>41244</v>
      </c>
      <c r="B37" s="11">
        <v>1348817</v>
      </c>
      <c r="C37" s="9">
        <v>16712007</v>
      </c>
      <c r="D37" s="10">
        <v>4855571</v>
      </c>
      <c r="E37" s="10">
        <v>12065902</v>
      </c>
      <c r="F37" s="10">
        <v>869087</v>
      </c>
      <c r="G37" s="10">
        <v>4273</v>
      </c>
      <c r="H37" s="10">
        <v>34893</v>
      </c>
      <c r="I37" s="10">
        <v>487485</v>
      </c>
      <c r="J37" s="10">
        <v>0</v>
      </c>
      <c r="K37" s="10">
        <v>1402886</v>
      </c>
      <c r="L37" s="10">
        <f t="shared" si="0"/>
        <v>37780921</v>
      </c>
    </row>
    <row r="38" spans="1:12" x14ac:dyDescent="0.35">
      <c r="A38" s="7">
        <v>41275</v>
      </c>
      <c r="B38" s="11">
        <v>621034</v>
      </c>
      <c r="C38" s="9">
        <v>10866581</v>
      </c>
      <c r="D38" s="10">
        <v>3929608</v>
      </c>
      <c r="E38" s="10">
        <v>7864006</v>
      </c>
      <c r="F38" s="10">
        <v>850772</v>
      </c>
      <c r="G38" s="10">
        <v>3369</v>
      </c>
      <c r="H38" s="10">
        <v>50942</v>
      </c>
      <c r="I38" s="10">
        <v>4978</v>
      </c>
      <c r="J38" s="10">
        <v>0</v>
      </c>
      <c r="K38" s="10">
        <v>1585181</v>
      </c>
      <c r="L38" s="10">
        <f t="shared" si="0"/>
        <v>25776471</v>
      </c>
    </row>
    <row r="39" spans="1:12" x14ac:dyDescent="0.35">
      <c r="A39" s="7">
        <v>41306</v>
      </c>
      <c r="B39" s="11">
        <v>465964</v>
      </c>
      <c r="C39" s="9">
        <v>19328518</v>
      </c>
      <c r="D39" s="10">
        <v>4395133</v>
      </c>
      <c r="E39" s="10">
        <v>6929119</v>
      </c>
      <c r="F39" s="10">
        <v>728578</v>
      </c>
      <c r="G39" s="10">
        <v>9851</v>
      </c>
      <c r="H39" s="10">
        <v>80149</v>
      </c>
      <c r="I39" s="10">
        <v>43774</v>
      </c>
      <c r="J39" s="10">
        <v>0</v>
      </c>
      <c r="K39" s="10">
        <v>1346479</v>
      </c>
      <c r="L39" s="10">
        <f t="shared" si="0"/>
        <v>33327565</v>
      </c>
    </row>
    <row r="40" spans="1:12" x14ac:dyDescent="0.35">
      <c r="A40" s="7">
        <v>41334</v>
      </c>
      <c r="B40" s="11">
        <v>1444164</v>
      </c>
      <c r="C40" s="9">
        <v>22968784</v>
      </c>
      <c r="D40" s="10">
        <v>5450659</v>
      </c>
      <c r="E40" s="10">
        <v>10882648</v>
      </c>
      <c r="F40" s="10">
        <v>612441</v>
      </c>
      <c r="G40" s="10">
        <v>4708</v>
      </c>
      <c r="H40" s="10">
        <v>1431</v>
      </c>
      <c r="I40" s="10">
        <v>6476</v>
      </c>
      <c r="J40" s="10">
        <v>0</v>
      </c>
      <c r="K40" s="10">
        <v>2485360</v>
      </c>
      <c r="L40" s="10">
        <f t="shared" si="0"/>
        <v>43856671</v>
      </c>
    </row>
    <row r="41" spans="1:12" x14ac:dyDescent="0.35">
      <c r="A41" s="7">
        <v>41365</v>
      </c>
      <c r="B41" s="11">
        <v>657339</v>
      </c>
      <c r="C41" s="9">
        <v>21250890</v>
      </c>
      <c r="D41" s="10">
        <v>6483564</v>
      </c>
      <c r="E41" s="10">
        <v>8705300</v>
      </c>
      <c r="F41" s="10">
        <v>1122148</v>
      </c>
      <c r="G41" s="10">
        <v>3234</v>
      </c>
      <c r="H41" s="10">
        <v>132657</v>
      </c>
      <c r="I41" s="10">
        <v>9649</v>
      </c>
      <c r="J41" s="10">
        <v>0</v>
      </c>
      <c r="K41" s="10">
        <v>3610191</v>
      </c>
      <c r="L41" s="10">
        <f t="shared" si="0"/>
        <v>41974972</v>
      </c>
    </row>
    <row r="42" spans="1:12" x14ac:dyDescent="0.35">
      <c r="A42" s="7">
        <v>41395</v>
      </c>
      <c r="B42" s="11">
        <v>549123</v>
      </c>
      <c r="C42" s="9">
        <v>20261858</v>
      </c>
      <c r="D42" s="10">
        <v>5591368</v>
      </c>
      <c r="E42" s="10">
        <v>8049552</v>
      </c>
      <c r="F42" s="10">
        <v>1396407</v>
      </c>
      <c r="G42" s="10">
        <v>370</v>
      </c>
      <c r="H42" s="10">
        <v>91852</v>
      </c>
      <c r="I42" s="10">
        <v>9762</v>
      </c>
      <c r="J42" s="10">
        <v>0</v>
      </c>
      <c r="K42" s="10">
        <v>2550791</v>
      </c>
      <c r="L42" s="10">
        <f t="shared" si="0"/>
        <v>38501083</v>
      </c>
    </row>
    <row r="43" spans="1:12" x14ac:dyDescent="0.35">
      <c r="A43" s="7">
        <v>41426</v>
      </c>
      <c r="B43" s="11">
        <v>1061384</v>
      </c>
      <c r="C43" s="9">
        <v>24247767</v>
      </c>
      <c r="D43" s="10">
        <v>6203969</v>
      </c>
      <c r="E43" s="10">
        <v>11148849</v>
      </c>
      <c r="F43" s="10">
        <v>1439500</v>
      </c>
      <c r="G43" s="10">
        <v>9571</v>
      </c>
      <c r="H43" s="10">
        <v>76234</v>
      </c>
      <c r="I43" s="10">
        <v>282290</v>
      </c>
      <c r="J43" s="10">
        <v>0</v>
      </c>
      <c r="K43" s="10">
        <v>2007399</v>
      </c>
      <c r="L43" s="10">
        <f t="shared" si="0"/>
        <v>46476963</v>
      </c>
    </row>
    <row r="44" spans="1:12" x14ac:dyDescent="0.35">
      <c r="A44" s="7">
        <v>41456</v>
      </c>
      <c r="B44" s="11">
        <v>810303</v>
      </c>
      <c r="C44" s="9">
        <v>20125133</v>
      </c>
      <c r="D44" s="10">
        <v>5933342</v>
      </c>
      <c r="E44" s="10">
        <v>8097012</v>
      </c>
      <c r="F44" s="10">
        <v>1258987</v>
      </c>
      <c r="G44" s="10">
        <v>9974</v>
      </c>
      <c r="H44" s="10">
        <v>73349</v>
      </c>
      <c r="I44" s="10">
        <v>61133</v>
      </c>
      <c r="J44" s="10">
        <v>0</v>
      </c>
      <c r="K44" s="10">
        <v>2359556</v>
      </c>
      <c r="L44" s="10">
        <f t="shared" si="0"/>
        <v>38728789</v>
      </c>
    </row>
    <row r="45" spans="1:12" x14ac:dyDescent="0.35">
      <c r="A45" s="7">
        <v>41487</v>
      </c>
      <c r="B45" s="11">
        <v>688130</v>
      </c>
      <c r="C45" s="9">
        <v>19101097</v>
      </c>
      <c r="D45" s="10">
        <v>6830055</v>
      </c>
      <c r="E45" s="10">
        <v>7199622</v>
      </c>
      <c r="F45" s="10">
        <v>1455737</v>
      </c>
      <c r="G45" s="10">
        <v>21846</v>
      </c>
      <c r="H45" s="10">
        <v>70663</v>
      </c>
      <c r="I45" s="10">
        <v>6347</v>
      </c>
      <c r="J45" s="10">
        <v>0</v>
      </c>
      <c r="K45" s="10">
        <v>2277305</v>
      </c>
      <c r="L45" s="10">
        <f t="shared" si="0"/>
        <v>37650802</v>
      </c>
    </row>
    <row r="46" spans="1:12" x14ac:dyDescent="0.35">
      <c r="A46" s="7">
        <v>41518</v>
      </c>
      <c r="B46" s="11">
        <v>963709</v>
      </c>
      <c r="C46" s="9">
        <v>21020367</v>
      </c>
      <c r="D46" s="10">
        <v>5517112</v>
      </c>
      <c r="E46" s="10">
        <v>11953724</v>
      </c>
      <c r="F46" s="10">
        <v>1251205</v>
      </c>
      <c r="G46" s="10">
        <v>7345</v>
      </c>
      <c r="H46" s="10">
        <v>48027</v>
      </c>
      <c r="I46" s="10">
        <v>34445</v>
      </c>
      <c r="J46" s="10">
        <v>0</v>
      </c>
      <c r="K46" s="10">
        <v>2274582</v>
      </c>
      <c r="L46" s="10">
        <f t="shared" si="0"/>
        <v>43070516</v>
      </c>
    </row>
    <row r="47" spans="1:12" x14ac:dyDescent="0.35">
      <c r="A47" s="7">
        <v>41548</v>
      </c>
      <c r="B47" s="11">
        <v>1180227</v>
      </c>
      <c r="C47" s="9">
        <v>18986514</v>
      </c>
      <c r="D47" s="10">
        <v>5410878</v>
      </c>
      <c r="E47" s="10">
        <v>9441288</v>
      </c>
      <c r="F47" s="10">
        <v>1791837</v>
      </c>
      <c r="G47" s="10">
        <v>10820</v>
      </c>
      <c r="H47" s="10">
        <v>73429</v>
      </c>
      <c r="I47" s="10">
        <v>20433</v>
      </c>
      <c r="J47" s="10">
        <v>0</v>
      </c>
      <c r="K47" s="10">
        <v>2130677</v>
      </c>
      <c r="L47" s="10">
        <f t="shared" si="0"/>
        <v>39046103</v>
      </c>
    </row>
    <row r="48" spans="1:12" x14ac:dyDescent="0.35">
      <c r="A48" s="7">
        <v>41579</v>
      </c>
      <c r="B48" s="11">
        <v>594884</v>
      </c>
      <c r="C48" s="9">
        <v>16767494</v>
      </c>
      <c r="D48" s="10">
        <v>5037492</v>
      </c>
      <c r="E48" s="10">
        <v>11361457</v>
      </c>
      <c r="F48" s="10">
        <v>1012766</v>
      </c>
      <c r="G48" s="10">
        <v>0</v>
      </c>
      <c r="H48" s="10">
        <v>78658</v>
      </c>
      <c r="I48" s="10">
        <v>6954</v>
      </c>
      <c r="J48" s="10">
        <v>0</v>
      </c>
      <c r="K48" s="10">
        <v>2002741</v>
      </c>
      <c r="L48" s="10">
        <f t="shared" si="0"/>
        <v>36862446</v>
      </c>
    </row>
    <row r="49" spans="1:12" x14ac:dyDescent="0.35">
      <c r="A49" s="7">
        <v>41609</v>
      </c>
      <c r="B49" s="11">
        <v>1642547</v>
      </c>
      <c r="C49" s="9">
        <v>18166448</v>
      </c>
      <c r="D49" s="10">
        <v>4903450</v>
      </c>
      <c r="E49" s="10">
        <v>14149937</v>
      </c>
      <c r="F49" s="10">
        <v>882517</v>
      </c>
      <c r="G49" s="10">
        <v>7732</v>
      </c>
      <c r="H49" s="10">
        <v>37772</v>
      </c>
      <c r="I49" s="10">
        <v>41724</v>
      </c>
      <c r="J49" s="10">
        <v>1199075</v>
      </c>
      <c r="K49" s="10">
        <v>1685177</v>
      </c>
      <c r="L49" s="10">
        <f t="shared" si="0"/>
        <v>42716379</v>
      </c>
    </row>
    <row r="50" spans="1:12" x14ac:dyDescent="0.35">
      <c r="A50" s="7">
        <v>41640</v>
      </c>
      <c r="B50" s="11">
        <v>745786</v>
      </c>
      <c r="C50" s="9">
        <v>14342806</v>
      </c>
      <c r="D50" s="10">
        <v>4761610</v>
      </c>
      <c r="E50" s="10">
        <v>10302152</v>
      </c>
      <c r="F50" s="10">
        <v>754697</v>
      </c>
      <c r="G50" s="10">
        <v>54</v>
      </c>
      <c r="H50" s="10">
        <v>63916</v>
      </c>
      <c r="I50" s="10">
        <v>16653</v>
      </c>
      <c r="J50" s="10">
        <v>1434062</v>
      </c>
      <c r="K50" s="10">
        <v>2358694</v>
      </c>
      <c r="L50" s="10">
        <f t="shared" si="0"/>
        <v>34780430</v>
      </c>
    </row>
    <row r="51" spans="1:12" x14ac:dyDescent="0.35">
      <c r="A51" s="7">
        <v>41671</v>
      </c>
      <c r="B51" s="11">
        <v>760511</v>
      </c>
      <c r="C51" s="9">
        <v>14942156</v>
      </c>
      <c r="D51" s="10">
        <v>5735930</v>
      </c>
      <c r="E51" s="10">
        <v>16203598</v>
      </c>
      <c r="F51" s="10">
        <v>894257</v>
      </c>
      <c r="G51" s="10">
        <v>1171</v>
      </c>
      <c r="H51" s="10">
        <v>71159</v>
      </c>
      <c r="I51" s="10">
        <v>16919</v>
      </c>
      <c r="J51" s="10">
        <v>1395833</v>
      </c>
      <c r="K51" s="10">
        <v>1991946</v>
      </c>
      <c r="L51" s="10">
        <f t="shared" si="0"/>
        <v>42013480</v>
      </c>
    </row>
    <row r="52" spans="1:12" x14ac:dyDescent="0.35">
      <c r="A52" s="7">
        <v>41699</v>
      </c>
      <c r="B52" s="11">
        <v>2025409</v>
      </c>
      <c r="C52" s="9">
        <v>23008431</v>
      </c>
      <c r="D52" s="10">
        <v>5920036</v>
      </c>
      <c r="E52" s="10">
        <v>10497616</v>
      </c>
      <c r="F52" s="10">
        <v>1031582</v>
      </c>
      <c r="G52" s="10">
        <v>21053</v>
      </c>
      <c r="H52" s="10">
        <v>101009</v>
      </c>
      <c r="I52" s="10">
        <v>37680</v>
      </c>
      <c r="J52" s="10">
        <v>1727858</v>
      </c>
      <c r="K52" s="10">
        <v>3033462</v>
      </c>
      <c r="L52" s="10">
        <f t="shared" si="0"/>
        <v>47404136</v>
      </c>
    </row>
    <row r="53" spans="1:12" x14ac:dyDescent="0.35">
      <c r="A53" s="7">
        <v>41730</v>
      </c>
      <c r="B53" s="11">
        <v>1241128</v>
      </c>
      <c r="C53" s="9">
        <v>22378073</v>
      </c>
      <c r="D53" s="10">
        <v>6514269</v>
      </c>
      <c r="E53" s="10">
        <v>7855547</v>
      </c>
      <c r="F53" s="10">
        <v>1643040</v>
      </c>
      <c r="G53" s="10">
        <v>31712</v>
      </c>
      <c r="H53" s="10">
        <v>75606</v>
      </c>
      <c r="I53" s="10">
        <v>9215</v>
      </c>
      <c r="J53" s="10">
        <v>2482567</v>
      </c>
      <c r="K53" s="10">
        <v>2441840</v>
      </c>
      <c r="L53" s="10">
        <f t="shared" si="0"/>
        <v>44672997</v>
      </c>
    </row>
    <row r="54" spans="1:12" x14ac:dyDescent="0.35">
      <c r="A54" s="7">
        <v>41760</v>
      </c>
      <c r="B54" s="11">
        <v>1610630</v>
      </c>
      <c r="C54" s="9">
        <v>18995140</v>
      </c>
      <c r="D54" s="10">
        <v>6366811</v>
      </c>
      <c r="E54" s="10">
        <v>10412871</v>
      </c>
      <c r="F54" s="10">
        <v>1664995</v>
      </c>
      <c r="G54" s="10">
        <v>15078</v>
      </c>
      <c r="H54" s="10">
        <v>180893</v>
      </c>
      <c r="I54" s="10">
        <v>98668</v>
      </c>
      <c r="J54" s="10">
        <v>1618022</v>
      </c>
      <c r="K54" s="10">
        <v>2539640</v>
      </c>
      <c r="L54" s="10">
        <f t="shared" si="0"/>
        <v>43502748</v>
      </c>
    </row>
    <row r="55" spans="1:12" x14ac:dyDescent="0.35">
      <c r="A55" s="7">
        <v>41791</v>
      </c>
      <c r="B55" s="11">
        <v>2384871</v>
      </c>
      <c r="C55" s="9">
        <v>21516090</v>
      </c>
      <c r="D55" s="10">
        <v>6594245</v>
      </c>
      <c r="E55" s="10">
        <v>16773242</v>
      </c>
      <c r="F55" s="10">
        <v>1867041</v>
      </c>
      <c r="G55" s="10">
        <v>20637</v>
      </c>
      <c r="H55" s="10">
        <v>275032</v>
      </c>
      <c r="I55" s="10">
        <v>18790</v>
      </c>
      <c r="J55" s="10">
        <v>1711938</v>
      </c>
      <c r="K55" s="10">
        <v>3104448</v>
      </c>
      <c r="L55" s="10">
        <f t="shared" si="0"/>
        <v>54266334</v>
      </c>
    </row>
    <row r="56" spans="1:12" x14ac:dyDescent="0.35">
      <c r="A56" s="7">
        <v>41821</v>
      </c>
      <c r="B56" s="11">
        <v>1292279</v>
      </c>
      <c r="C56" s="9">
        <v>19099363</v>
      </c>
      <c r="D56" s="10">
        <v>6673324</v>
      </c>
      <c r="E56" s="10">
        <v>15421645</v>
      </c>
      <c r="F56" s="10">
        <v>1452560</v>
      </c>
      <c r="G56" s="10">
        <v>24199</v>
      </c>
      <c r="H56" s="10">
        <v>135031</v>
      </c>
      <c r="I56" s="10">
        <v>10503</v>
      </c>
      <c r="J56" s="10">
        <v>2041662</v>
      </c>
      <c r="K56" s="10">
        <v>2453989</v>
      </c>
      <c r="L56" s="10">
        <f t="shared" si="0"/>
        <v>48604555</v>
      </c>
    </row>
    <row r="57" spans="1:12" x14ac:dyDescent="0.35">
      <c r="A57" s="7">
        <v>41852</v>
      </c>
      <c r="B57" s="11">
        <v>1707941</v>
      </c>
      <c r="C57" s="9">
        <v>17520277</v>
      </c>
      <c r="D57" s="10">
        <v>6585000</v>
      </c>
      <c r="E57" s="10">
        <v>17763673</v>
      </c>
      <c r="F57" s="10">
        <v>1402117</v>
      </c>
      <c r="G57" s="10">
        <v>35497</v>
      </c>
      <c r="H57" s="10">
        <v>89908</v>
      </c>
      <c r="I57" s="10">
        <v>11695</v>
      </c>
      <c r="J57" s="10">
        <v>1569202</v>
      </c>
      <c r="K57" s="10">
        <v>2330517</v>
      </c>
      <c r="L57" s="10">
        <f t="shared" si="0"/>
        <v>49015827</v>
      </c>
    </row>
    <row r="58" spans="1:12" x14ac:dyDescent="0.35">
      <c r="A58" s="7">
        <v>41883</v>
      </c>
      <c r="B58" s="11">
        <v>2102788</v>
      </c>
      <c r="C58" s="9">
        <v>20331210</v>
      </c>
      <c r="D58" s="10">
        <v>5852513</v>
      </c>
      <c r="E58" s="10">
        <v>13855830</v>
      </c>
      <c r="F58" s="10">
        <v>1423014</v>
      </c>
      <c r="G58" s="10">
        <v>7610</v>
      </c>
      <c r="H58" s="10">
        <v>60761</v>
      </c>
      <c r="I58" s="10">
        <v>32311</v>
      </c>
      <c r="J58" s="10">
        <v>1524111</v>
      </c>
      <c r="K58" s="10">
        <v>2234187</v>
      </c>
      <c r="L58" s="10">
        <f t="shared" si="0"/>
        <v>47424335</v>
      </c>
    </row>
    <row r="59" spans="1:12" x14ac:dyDescent="0.35">
      <c r="A59" s="7">
        <v>41913</v>
      </c>
      <c r="B59" s="11">
        <v>1361013</v>
      </c>
      <c r="C59" s="9">
        <v>17939047</v>
      </c>
      <c r="D59" s="10">
        <v>5911357</v>
      </c>
      <c r="E59" s="10">
        <v>24217992</v>
      </c>
      <c r="F59" s="10">
        <v>1209168</v>
      </c>
      <c r="G59" s="10">
        <v>43541</v>
      </c>
      <c r="H59" s="10">
        <v>0</v>
      </c>
      <c r="I59" s="10">
        <v>40691</v>
      </c>
      <c r="J59" s="10">
        <v>1889703</v>
      </c>
      <c r="K59" s="10">
        <v>2388215</v>
      </c>
      <c r="L59" s="10">
        <f t="shared" si="0"/>
        <v>55000727</v>
      </c>
    </row>
    <row r="60" spans="1:12" x14ac:dyDescent="0.35">
      <c r="A60" s="7">
        <v>41944</v>
      </c>
      <c r="B60" s="11">
        <v>1412284</v>
      </c>
      <c r="C60" s="9">
        <v>16491444</v>
      </c>
      <c r="D60" s="10">
        <v>4856925</v>
      </c>
      <c r="E60" s="10">
        <v>10729969</v>
      </c>
      <c r="F60" s="10">
        <v>797680</v>
      </c>
      <c r="G60" s="10">
        <v>63192</v>
      </c>
      <c r="H60" s="10">
        <v>52677</v>
      </c>
      <c r="I60" s="10">
        <v>3104</v>
      </c>
      <c r="J60" s="10">
        <v>1583197</v>
      </c>
      <c r="K60" s="10">
        <v>2300275</v>
      </c>
      <c r="L60" s="10">
        <f t="shared" si="0"/>
        <v>38290747</v>
      </c>
    </row>
    <row r="61" spans="1:12" x14ac:dyDescent="0.35">
      <c r="A61" s="7">
        <v>41974</v>
      </c>
      <c r="B61" s="11">
        <v>3662717</v>
      </c>
      <c r="C61" s="9">
        <v>18942451</v>
      </c>
      <c r="D61" s="10">
        <v>5206154</v>
      </c>
      <c r="E61" s="10">
        <v>23520775</v>
      </c>
      <c r="F61" s="10">
        <v>1529111</v>
      </c>
      <c r="G61" s="10">
        <v>41749</v>
      </c>
      <c r="H61" s="10">
        <v>127203</v>
      </c>
      <c r="I61" s="10">
        <v>15094</v>
      </c>
      <c r="J61" s="10">
        <v>1426590</v>
      </c>
      <c r="K61" s="10">
        <v>2992365</v>
      </c>
      <c r="L61" s="10">
        <f t="shared" si="0"/>
        <v>57464209</v>
      </c>
    </row>
    <row r="62" spans="1:12" x14ac:dyDescent="0.35">
      <c r="A62" s="7">
        <v>42005</v>
      </c>
      <c r="B62" s="11">
        <v>1114757</v>
      </c>
      <c r="C62" s="9">
        <v>15534726</v>
      </c>
      <c r="D62" s="10">
        <v>5297998</v>
      </c>
      <c r="E62" s="10">
        <v>17036530</v>
      </c>
      <c r="F62" s="10">
        <v>676810</v>
      </c>
      <c r="G62" s="10">
        <v>19435</v>
      </c>
      <c r="H62" s="10">
        <v>109091</v>
      </c>
      <c r="I62" s="10">
        <v>27405</v>
      </c>
      <c r="J62" s="10">
        <v>1720772</v>
      </c>
      <c r="K62" s="10">
        <v>3315821</v>
      </c>
      <c r="L62" s="10">
        <f t="shared" si="0"/>
        <v>44853345</v>
      </c>
    </row>
    <row r="63" spans="1:12" x14ac:dyDescent="0.35">
      <c r="A63" s="7">
        <v>42036</v>
      </c>
      <c r="B63" s="11">
        <v>2332627</v>
      </c>
      <c r="C63" s="9">
        <v>14890426</v>
      </c>
      <c r="D63" s="10">
        <v>4825988</v>
      </c>
      <c r="E63" s="10">
        <v>14337240</v>
      </c>
      <c r="F63" s="10">
        <v>435147</v>
      </c>
      <c r="G63" s="10">
        <v>30337</v>
      </c>
      <c r="H63" s="10">
        <v>101204</v>
      </c>
      <c r="I63" s="10">
        <v>11591</v>
      </c>
      <c r="J63" s="10">
        <v>1490901</v>
      </c>
      <c r="K63" s="10">
        <v>2327961</v>
      </c>
      <c r="L63" s="10">
        <f t="shared" si="0"/>
        <v>40783422</v>
      </c>
    </row>
    <row r="64" spans="1:12" x14ac:dyDescent="0.35">
      <c r="A64" s="7">
        <v>42064</v>
      </c>
      <c r="B64" s="11">
        <v>794576</v>
      </c>
      <c r="C64" s="9">
        <v>21900531</v>
      </c>
      <c r="D64" s="10">
        <v>6643707</v>
      </c>
      <c r="E64" s="10">
        <v>12592411</v>
      </c>
      <c r="F64" s="10">
        <v>1499476</v>
      </c>
      <c r="G64" s="10">
        <v>30418</v>
      </c>
      <c r="H64" s="10">
        <v>107824</v>
      </c>
      <c r="I64" s="10">
        <v>7757</v>
      </c>
      <c r="J64" s="10">
        <v>1848099</v>
      </c>
      <c r="K64" s="10">
        <v>3017918</v>
      </c>
      <c r="L64" s="10">
        <f t="shared" si="0"/>
        <v>48442717</v>
      </c>
    </row>
    <row r="65" spans="1:12" x14ac:dyDescent="0.35">
      <c r="A65" s="7">
        <v>42095</v>
      </c>
      <c r="B65" s="11">
        <v>1621354</v>
      </c>
      <c r="C65" s="9">
        <v>18238264</v>
      </c>
      <c r="D65" s="10">
        <v>6128269</v>
      </c>
      <c r="E65" s="10">
        <v>9494625</v>
      </c>
      <c r="F65" s="10">
        <v>1136983</v>
      </c>
      <c r="G65" s="10">
        <v>10266</v>
      </c>
      <c r="H65" s="10">
        <v>157025</v>
      </c>
      <c r="I65" s="10">
        <v>9603</v>
      </c>
      <c r="J65" s="10">
        <v>2316924</v>
      </c>
      <c r="K65" s="10">
        <v>2464142</v>
      </c>
      <c r="L65" s="10">
        <f t="shared" si="0"/>
        <v>41577455</v>
      </c>
    </row>
    <row r="66" spans="1:12" x14ac:dyDescent="0.35">
      <c r="A66" s="7">
        <v>42125</v>
      </c>
      <c r="B66" s="11">
        <v>612202</v>
      </c>
      <c r="C66" s="9">
        <v>18053305</v>
      </c>
      <c r="D66" s="10">
        <v>5072024</v>
      </c>
      <c r="E66" s="10">
        <v>9749226</v>
      </c>
      <c r="F66" s="10">
        <v>1409062</v>
      </c>
      <c r="G66" s="10">
        <v>21762</v>
      </c>
      <c r="H66" s="10">
        <v>140024</v>
      </c>
      <c r="I66" s="10">
        <v>102219</v>
      </c>
      <c r="J66" s="10">
        <v>1836244</v>
      </c>
      <c r="K66" s="10">
        <v>1854024</v>
      </c>
      <c r="L66" s="10">
        <f t="shared" si="0"/>
        <v>38850092</v>
      </c>
    </row>
    <row r="67" spans="1:12" x14ac:dyDescent="0.35">
      <c r="A67" s="7">
        <v>42156</v>
      </c>
      <c r="B67" s="11">
        <v>1182349.54</v>
      </c>
      <c r="C67" s="9">
        <v>22115784</v>
      </c>
      <c r="D67" s="10">
        <v>6118303.5199999996</v>
      </c>
      <c r="E67" s="10">
        <v>14184241.689999999</v>
      </c>
      <c r="F67" s="10">
        <v>1603768.51</v>
      </c>
      <c r="G67" s="10">
        <v>37814.94</v>
      </c>
      <c r="H67" s="10">
        <v>150407.26</v>
      </c>
      <c r="I67" s="10">
        <v>89881.95</v>
      </c>
      <c r="J67" s="10">
        <v>1928748.5</v>
      </c>
      <c r="K67" s="10">
        <v>2303698.04</v>
      </c>
      <c r="L67" s="10">
        <f t="shared" ref="L67:L79" si="1">SUM(B67:K67)</f>
        <v>49714997.949999996</v>
      </c>
    </row>
    <row r="68" spans="1:12" x14ac:dyDescent="0.35">
      <c r="A68" s="7">
        <v>42186</v>
      </c>
      <c r="B68" s="11">
        <v>1074192</v>
      </c>
      <c r="C68" s="9">
        <v>19325460</v>
      </c>
      <c r="D68" s="10">
        <v>6296094</v>
      </c>
      <c r="E68" s="10">
        <v>8853173</v>
      </c>
      <c r="F68" s="10">
        <v>1492232</v>
      </c>
      <c r="G68" s="10">
        <v>38848</v>
      </c>
      <c r="H68" s="10">
        <v>100272</v>
      </c>
      <c r="I68" s="10">
        <v>34506</v>
      </c>
      <c r="J68" s="10">
        <v>2076165</v>
      </c>
      <c r="K68" s="10">
        <v>2634146</v>
      </c>
      <c r="L68" s="10">
        <f t="shared" si="1"/>
        <v>41925088</v>
      </c>
    </row>
    <row r="69" spans="1:12" x14ac:dyDescent="0.35">
      <c r="A69" s="7">
        <v>42217</v>
      </c>
      <c r="B69" s="11">
        <v>932949</v>
      </c>
      <c r="C69" s="9">
        <v>17948794</v>
      </c>
      <c r="D69" s="10">
        <v>6258357</v>
      </c>
      <c r="E69" s="10">
        <v>10179863</v>
      </c>
      <c r="F69" s="10">
        <v>1284893</v>
      </c>
      <c r="G69" s="10">
        <v>22505</v>
      </c>
      <c r="H69" s="10">
        <v>91560</v>
      </c>
      <c r="I69" s="10">
        <v>85145</v>
      </c>
      <c r="J69" s="10">
        <v>1528482</v>
      </c>
      <c r="K69" s="10">
        <v>2721131</v>
      </c>
      <c r="L69" s="10">
        <f t="shared" si="1"/>
        <v>41053679</v>
      </c>
    </row>
    <row r="70" spans="1:12" x14ac:dyDescent="0.35">
      <c r="A70" s="7">
        <v>42248</v>
      </c>
      <c r="B70" s="11">
        <v>2754935</v>
      </c>
      <c r="C70" s="9">
        <v>20303693</v>
      </c>
      <c r="D70" s="10">
        <v>6506294</v>
      </c>
      <c r="E70" s="10">
        <v>9905165</v>
      </c>
      <c r="F70" s="10">
        <v>1074915</v>
      </c>
      <c r="G70" s="10">
        <v>37151</v>
      </c>
      <c r="H70" s="10">
        <v>83926</v>
      </c>
      <c r="I70" s="10">
        <v>12373</v>
      </c>
      <c r="J70" s="10">
        <v>1533471</v>
      </c>
      <c r="K70" s="10">
        <v>2533795</v>
      </c>
      <c r="L70" s="10">
        <f t="shared" si="1"/>
        <v>44745718</v>
      </c>
    </row>
    <row r="71" spans="1:12" x14ac:dyDescent="0.35">
      <c r="A71" s="7">
        <v>42278</v>
      </c>
      <c r="B71" s="11">
        <v>1559588</v>
      </c>
      <c r="C71" s="9">
        <v>17961780</v>
      </c>
      <c r="D71" s="10">
        <v>6224998</v>
      </c>
      <c r="E71" s="10">
        <v>8994175</v>
      </c>
      <c r="F71" s="10">
        <v>989585</v>
      </c>
      <c r="G71" s="10">
        <v>26876</v>
      </c>
      <c r="H71" s="10">
        <v>141059</v>
      </c>
      <c r="I71" s="10">
        <v>33679</v>
      </c>
      <c r="J71" s="10">
        <v>1780120</v>
      </c>
      <c r="K71" s="10">
        <v>3280868</v>
      </c>
      <c r="L71" s="10">
        <f t="shared" si="1"/>
        <v>40992728</v>
      </c>
    </row>
    <row r="72" spans="1:12" x14ac:dyDescent="0.35">
      <c r="A72" s="7">
        <v>42309</v>
      </c>
      <c r="B72" s="11">
        <v>1240332</v>
      </c>
      <c r="C72" s="9">
        <v>17567930</v>
      </c>
      <c r="D72" s="10">
        <v>5232791</v>
      </c>
      <c r="E72" s="10">
        <v>6632189</v>
      </c>
      <c r="F72" s="10">
        <v>1207983</v>
      </c>
      <c r="G72" s="10">
        <v>24470</v>
      </c>
      <c r="H72" s="10">
        <v>111220</v>
      </c>
      <c r="I72" s="10">
        <v>26245</v>
      </c>
      <c r="J72" s="10">
        <v>1512769</v>
      </c>
      <c r="K72" s="10">
        <v>2046851</v>
      </c>
      <c r="L72" s="10">
        <f t="shared" si="1"/>
        <v>35602780</v>
      </c>
    </row>
    <row r="73" spans="1:12" x14ac:dyDescent="0.35">
      <c r="A73" s="7">
        <v>42339</v>
      </c>
      <c r="B73" s="11">
        <v>2965844.12</v>
      </c>
      <c r="C73" s="9">
        <v>18485004.149999999</v>
      </c>
      <c r="D73" s="10">
        <v>5259043.97</v>
      </c>
      <c r="E73" s="10">
        <v>10750371.210000001</v>
      </c>
      <c r="F73" s="10">
        <v>987196.81</v>
      </c>
      <c r="G73" s="10">
        <v>41264.65</v>
      </c>
      <c r="H73" s="10">
        <v>233175.24</v>
      </c>
      <c r="I73" s="10">
        <v>33134.06</v>
      </c>
      <c r="J73" s="10">
        <v>1437649</v>
      </c>
      <c r="K73" s="10">
        <v>1614563.87</v>
      </c>
      <c r="L73" s="10">
        <f t="shared" si="1"/>
        <v>41807247.080000006</v>
      </c>
    </row>
    <row r="74" spans="1:12" x14ac:dyDescent="0.35">
      <c r="A74" s="7">
        <v>42370</v>
      </c>
      <c r="B74" s="11">
        <v>1017928</v>
      </c>
      <c r="C74" s="9">
        <v>9322991</v>
      </c>
      <c r="D74" s="10">
        <v>4912405</v>
      </c>
      <c r="E74" s="10">
        <v>4646007</v>
      </c>
      <c r="F74" s="10">
        <v>845451</v>
      </c>
      <c r="G74" s="10">
        <v>33489</v>
      </c>
      <c r="H74" s="10">
        <v>186144</v>
      </c>
      <c r="I74" s="10">
        <v>68787</v>
      </c>
      <c r="J74" s="10">
        <v>1712125</v>
      </c>
      <c r="K74" s="10">
        <v>2404064</v>
      </c>
      <c r="L74" s="10">
        <f t="shared" si="1"/>
        <v>25149391</v>
      </c>
    </row>
    <row r="75" spans="1:12" x14ac:dyDescent="0.35">
      <c r="A75" s="7">
        <v>42401</v>
      </c>
      <c r="B75" s="11">
        <v>908177.33</v>
      </c>
      <c r="C75" s="9">
        <v>14034604.48</v>
      </c>
      <c r="D75" s="10">
        <v>4739184.4800000004</v>
      </c>
      <c r="E75" s="10">
        <v>4102084.68</v>
      </c>
      <c r="F75" s="10">
        <v>950278.22</v>
      </c>
      <c r="G75" s="10">
        <v>36803.79</v>
      </c>
      <c r="H75" s="10">
        <v>138217.4</v>
      </c>
      <c r="I75" s="10">
        <v>52864</v>
      </c>
      <c r="J75" s="10">
        <v>1643744</v>
      </c>
      <c r="K75" s="10">
        <v>2028978.06</v>
      </c>
      <c r="L75" s="10">
        <f t="shared" si="1"/>
        <v>28634936.439999994</v>
      </c>
    </row>
    <row r="76" spans="1:12" x14ac:dyDescent="0.35">
      <c r="A76" s="7">
        <v>42430</v>
      </c>
      <c r="B76" s="11">
        <v>1233561.94</v>
      </c>
      <c r="C76" s="9">
        <v>20725842.170000002</v>
      </c>
      <c r="D76" s="10">
        <v>5714097.4100000001</v>
      </c>
      <c r="E76" s="10">
        <v>5288074.49</v>
      </c>
      <c r="F76" s="10">
        <v>1829219.51</v>
      </c>
      <c r="G76" s="10">
        <v>39294.980000000003</v>
      </c>
      <c r="H76" s="10">
        <v>125973.6</v>
      </c>
      <c r="I76" s="10">
        <v>70343.399999999994</v>
      </c>
      <c r="J76" s="10">
        <v>1740184.5</v>
      </c>
      <c r="K76" s="10">
        <v>-2982240.79</v>
      </c>
      <c r="L76" s="10">
        <f t="shared" si="1"/>
        <v>33784351.210000001</v>
      </c>
    </row>
    <row r="77" spans="1:12" x14ac:dyDescent="0.35">
      <c r="A77" s="7">
        <v>42461</v>
      </c>
      <c r="B77" s="11">
        <v>861940</v>
      </c>
      <c r="C77" s="9">
        <v>18881499</v>
      </c>
      <c r="D77" s="10">
        <v>6381687</v>
      </c>
      <c r="E77" s="10">
        <v>4329727</v>
      </c>
      <c r="F77" s="10">
        <v>1249254</v>
      </c>
      <c r="G77" s="10">
        <v>59417</v>
      </c>
      <c r="H77" s="10">
        <v>121254</v>
      </c>
      <c r="I77" s="10">
        <v>62362</v>
      </c>
      <c r="J77" s="10">
        <v>2250859</v>
      </c>
      <c r="K77" s="10">
        <v>1819174</v>
      </c>
      <c r="L77" s="10">
        <f t="shared" si="1"/>
        <v>36017173</v>
      </c>
    </row>
    <row r="78" spans="1:12" x14ac:dyDescent="0.35">
      <c r="A78" s="7">
        <v>42491</v>
      </c>
      <c r="B78" s="11">
        <v>1445320.56</v>
      </c>
      <c r="C78" s="9">
        <v>18234237.239999998</v>
      </c>
      <c r="D78" s="10">
        <v>5977324.4699999997</v>
      </c>
      <c r="E78" s="10">
        <v>4998627.08</v>
      </c>
      <c r="F78" s="10">
        <v>1477860.33</v>
      </c>
      <c r="G78" s="10">
        <v>47080.67</v>
      </c>
      <c r="H78" s="10">
        <v>141662.96</v>
      </c>
      <c r="I78" s="10">
        <v>77165.23</v>
      </c>
      <c r="J78" s="10">
        <v>1934112.5</v>
      </c>
      <c r="K78" s="10">
        <v>2028493.95</v>
      </c>
      <c r="L78" s="10">
        <f t="shared" si="1"/>
        <v>36361884.989999995</v>
      </c>
    </row>
    <row r="79" spans="1:12" x14ac:dyDescent="0.35">
      <c r="A79" s="7">
        <v>42522</v>
      </c>
      <c r="B79" s="11">
        <v>1800598.37</v>
      </c>
      <c r="C79" s="9">
        <v>18945438.640000001</v>
      </c>
      <c r="D79" s="10">
        <v>6001723.25</v>
      </c>
      <c r="E79" s="10">
        <v>9935028.6999999993</v>
      </c>
      <c r="F79" s="10">
        <v>1778911.32</v>
      </c>
      <c r="G79" s="10">
        <v>22560.52</v>
      </c>
      <c r="H79" s="10">
        <v>194563.29</v>
      </c>
      <c r="I79" s="10">
        <v>167009.57999999999</v>
      </c>
      <c r="J79" s="10">
        <v>1642846</v>
      </c>
      <c r="K79" s="10">
        <v>2012092.83</v>
      </c>
      <c r="L79" s="10">
        <f t="shared" si="1"/>
        <v>42500772.5</v>
      </c>
    </row>
    <row r="80" spans="1:12" x14ac:dyDescent="0.35">
      <c r="A80" s="7">
        <v>42552</v>
      </c>
      <c r="B80" s="11">
        <v>963167</v>
      </c>
      <c r="C80" s="9">
        <v>16728059</v>
      </c>
      <c r="D80" s="10">
        <v>6302387</v>
      </c>
      <c r="E80" s="10">
        <v>3598559</v>
      </c>
      <c r="F80" s="10">
        <v>1710845</v>
      </c>
      <c r="G80" s="10">
        <v>33400</v>
      </c>
      <c r="H80" s="10">
        <v>96956</v>
      </c>
      <c r="I80" s="10">
        <v>116653</v>
      </c>
      <c r="J80" s="10">
        <v>2134793</v>
      </c>
      <c r="K80" s="10">
        <v>1616005</v>
      </c>
      <c r="L80" s="10">
        <f>SUM(B80:K80)</f>
        <v>33300824</v>
      </c>
    </row>
    <row r="81" spans="1:12" x14ac:dyDescent="0.35">
      <c r="A81" s="7">
        <v>42583</v>
      </c>
      <c r="B81" s="11">
        <v>1148120</v>
      </c>
      <c r="C81" s="9">
        <v>17533052</v>
      </c>
      <c r="D81" s="10">
        <v>6899381</v>
      </c>
      <c r="E81" s="10">
        <v>4387986</v>
      </c>
      <c r="F81" s="10">
        <v>1742090</v>
      </c>
      <c r="G81" s="10">
        <v>65851</v>
      </c>
      <c r="H81" s="10">
        <v>108324</v>
      </c>
      <c r="I81" s="10">
        <v>121350</v>
      </c>
      <c r="J81" s="10">
        <v>1736841</v>
      </c>
      <c r="K81" s="10">
        <v>1810392</v>
      </c>
      <c r="L81" s="10">
        <f>SUM(B81:K81)</f>
        <v>35553387</v>
      </c>
    </row>
    <row r="82" spans="1:12" x14ac:dyDescent="0.35">
      <c r="A82" s="7">
        <v>42614</v>
      </c>
      <c r="B82" s="11">
        <v>1548861.72</v>
      </c>
      <c r="C82" s="9">
        <v>24646354.27</v>
      </c>
      <c r="D82" s="10">
        <v>5728973.4500000002</v>
      </c>
      <c r="E82" s="10">
        <v>4576020.6900000004</v>
      </c>
      <c r="F82" s="10">
        <v>1590438.61</v>
      </c>
      <c r="G82" s="10">
        <v>44274.11</v>
      </c>
      <c r="H82" s="10">
        <v>128786.18</v>
      </c>
      <c r="I82" s="10">
        <v>159801.85999999999</v>
      </c>
      <c r="J82" s="10">
        <v>1961910</v>
      </c>
      <c r="K82" s="10">
        <v>2704862.66</v>
      </c>
      <c r="L82" s="10">
        <f>SUM(B82:K82)</f>
        <v>43090283.549999997</v>
      </c>
    </row>
    <row r="83" spans="1:12" x14ac:dyDescent="0.35">
      <c r="A83" s="7">
        <v>42644</v>
      </c>
      <c r="B83" s="11">
        <v>1294552.1299999999</v>
      </c>
      <c r="C83" s="9">
        <v>21330231.84</v>
      </c>
      <c r="D83" s="10">
        <v>5565104.54</v>
      </c>
      <c r="E83" s="10">
        <v>4870298.4000000004</v>
      </c>
      <c r="F83" s="10">
        <v>1427553.18</v>
      </c>
      <c r="G83" s="10">
        <v>57517.75</v>
      </c>
      <c r="H83" s="10">
        <v>121288.13</v>
      </c>
      <c r="I83" s="10">
        <v>138350.39000000001</v>
      </c>
      <c r="J83" s="10">
        <v>2397335.5</v>
      </c>
      <c r="K83" s="10">
        <v>2112639.6</v>
      </c>
      <c r="L83" s="10">
        <f t="shared" ref="L83:L109" si="2">SUM(B83:K83)</f>
        <v>39314871.460000001</v>
      </c>
    </row>
    <row r="84" spans="1:12" x14ac:dyDescent="0.35">
      <c r="A84" s="7">
        <v>42675</v>
      </c>
      <c r="B84" s="11">
        <v>1524721</v>
      </c>
      <c r="C84" s="9">
        <v>20265159</v>
      </c>
      <c r="D84" s="10">
        <v>6172367</v>
      </c>
      <c r="E84" s="10">
        <v>4133654</v>
      </c>
      <c r="F84" s="10">
        <v>824162</v>
      </c>
      <c r="G84" s="10">
        <v>30539</v>
      </c>
      <c r="H84" s="10">
        <v>98933</v>
      </c>
      <c r="I84" s="10">
        <v>107375</v>
      </c>
      <c r="J84" s="10">
        <v>1855082</v>
      </c>
      <c r="K84" s="10">
        <v>1564803</v>
      </c>
      <c r="L84" s="10">
        <f t="shared" si="2"/>
        <v>36576795</v>
      </c>
    </row>
    <row r="85" spans="1:12" x14ac:dyDescent="0.35">
      <c r="A85" s="7">
        <v>42705</v>
      </c>
      <c r="B85" s="11">
        <v>2380628.1</v>
      </c>
      <c r="C85" s="9">
        <v>20684762.32</v>
      </c>
      <c r="D85" s="10">
        <v>6714731.3099999996</v>
      </c>
      <c r="E85" s="10">
        <v>4739719.3</v>
      </c>
      <c r="F85" s="10">
        <v>1250059.44</v>
      </c>
      <c r="G85" s="10">
        <v>21631.88</v>
      </c>
      <c r="H85" s="10">
        <v>111651.95</v>
      </c>
      <c r="I85" s="10">
        <v>182330.42</v>
      </c>
      <c r="J85" s="10">
        <v>1622867.5</v>
      </c>
      <c r="K85" s="10">
        <v>1667929.59</v>
      </c>
      <c r="L85" s="10">
        <f t="shared" si="2"/>
        <v>39376311.81000001</v>
      </c>
    </row>
    <row r="86" spans="1:12" x14ac:dyDescent="0.35">
      <c r="A86" s="7">
        <v>42736</v>
      </c>
      <c r="B86" s="11">
        <v>2039711.56</v>
      </c>
      <c r="C86" s="9">
        <v>20701460.41</v>
      </c>
      <c r="D86" s="10">
        <v>5463434.5700000003</v>
      </c>
      <c r="E86" s="10">
        <v>5591151.5700000003</v>
      </c>
      <c r="F86" s="10">
        <v>836722.31</v>
      </c>
      <c r="G86" s="10">
        <v>39499.39</v>
      </c>
      <c r="H86" s="10">
        <v>20541</v>
      </c>
      <c r="I86" s="10">
        <v>123919.28</v>
      </c>
      <c r="J86" s="10">
        <v>0</v>
      </c>
      <c r="K86" s="10">
        <v>2071451.79</v>
      </c>
      <c r="L86" s="10">
        <f t="shared" si="2"/>
        <v>36887891.880000003</v>
      </c>
    </row>
    <row r="87" spans="1:12" x14ac:dyDescent="0.35">
      <c r="A87" s="7">
        <v>42767</v>
      </c>
      <c r="B87" s="11">
        <v>1968532.06</v>
      </c>
      <c r="C87" s="9">
        <v>18842736.18</v>
      </c>
      <c r="D87" s="10">
        <v>5399120.2000000002</v>
      </c>
      <c r="E87" s="10">
        <v>4161517.86</v>
      </c>
      <c r="F87" s="10">
        <v>1076605.29</v>
      </c>
      <c r="G87" s="10">
        <v>95047.93</v>
      </c>
      <c r="H87" s="10">
        <v>4091.75</v>
      </c>
      <c r="I87" s="10">
        <v>117139.46</v>
      </c>
      <c r="J87" s="10"/>
      <c r="K87" s="10">
        <v>1544477.99</v>
      </c>
      <c r="L87" s="10">
        <f t="shared" si="2"/>
        <v>33209268.719999995</v>
      </c>
    </row>
    <row r="88" spans="1:12" x14ac:dyDescent="0.35">
      <c r="A88" s="7">
        <v>42795</v>
      </c>
      <c r="B88" s="11">
        <v>2022189.12</v>
      </c>
      <c r="C88" s="9">
        <v>24053148.710000001</v>
      </c>
      <c r="D88" s="10">
        <v>6174796.4000000004</v>
      </c>
      <c r="E88" s="10">
        <v>5311029.9000000004</v>
      </c>
      <c r="F88" s="10">
        <v>1196588.8700000001</v>
      </c>
      <c r="G88" s="10">
        <v>50807.13</v>
      </c>
      <c r="H88" s="10">
        <v>7580.5</v>
      </c>
      <c r="I88" s="10">
        <v>101583.05</v>
      </c>
      <c r="J88" s="10"/>
      <c r="K88" s="10">
        <v>1994938.23</v>
      </c>
      <c r="L88" s="10">
        <f t="shared" si="2"/>
        <v>40912661.909999996</v>
      </c>
    </row>
    <row r="89" spans="1:12" x14ac:dyDescent="0.35">
      <c r="A89" s="7">
        <v>42826</v>
      </c>
      <c r="B89" s="11">
        <v>1701902.97</v>
      </c>
      <c r="C89" s="9">
        <v>22577096.149999999</v>
      </c>
      <c r="D89" s="10">
        <v>5344245.09</v>
      </c>
      <c r="E89" s="10">
        <v>5075605.9000000004</v>
      </c>
      <c r="F89" s="10">
        <v>1418390.73</v>
      </c>
      <c r="G89" s="10">
        <v>48353.53</v>
      </c>
      <c r="H89" s="10">
        <v>3945</v>
      </c>
      <c r="I89" s="10">
        <v>163387.75</v>
      </c>
      <c r="J89" s="10"/>
      <c r="K89" s="10">
        <v>1701435.51</v>
      </c>
      <c r="L89" s="10">
        <f t="shared" si="2"/>
        <v>38034362.629999995</v>
      </c>
    </row>
    <row r="90" spans="1:12" x14ac:dyDescent="0.35">
      <c r="A90" s="7">
        <v>42856</v>
      </c>
      <c r="B90" s="11">
        <v>871993.38</v>
      </c>
      <c r="C90" s="9">
        <v>21218176.100000001</v>
      </c>
      <c r="D90" s="10">
        <v>5611856.3300000001</v>
      </c>
      <c r="E90" s="10">
        <v>4633987.5999999996</v>
      </c>
      <c r="F90" s="10">
        <v>1704505.04</v>
      </c>
      <c r="G90" s="10">
        <v>20626.84</v>
      </c>
      <c r="H90" s="10">
        <v>12856.06</v>
      </c>
      <c r="I90" s="10">
        <v>142085.28</v>
      </c>
      <c r="J90" s="10"/>
      <c r="K90" s="10">
        <v>1967535.8</v>
      </c>
      <c r="L90" s="10">
        <f t="shared" si="2"/>
        <v>36183622.430000007</v>
      </c>
    </row>
    <row r="91" spans="1:12" x14ac:dyDescent="0.35">
      <c r="A91" s="7">
        <v>42887</v>
      </c>
      <c r="B91" s="11">
        <v>2911045</v>
      </c>
      <c r="C91" s="9">
        <v>22478036</v>
      </c>
      <c r="D91" s="10">
        <v>6667555</v>
      </c>
      <c r="E91" s="10">
        <v>4083279</v>
      </c>
      <c r="F91" s="10">
        <v>1883204</v>
      </c>
      <c r="G91" s="10">
        <v>33721</v>
      </c>
      <c r="H91" s="10">
        <v>5001</v>
      </c>
      <c r="I91" s="10">
        <v>132582</v>
      </c>
      <c r="J91" s="10"/>
      <c r="K91" s="10">
        <v>1901215</v>
      </c>
      <c r="L91" s="10">
        <f t="shared" si="2"/>
        <v>40095638</v>
      </c>
    </row>
    <row r="92" spans="1:12" x14ac:dyDescent="0.35">
      <c r="A92" s="7">
        <v>42917</v>
      </c>
      <c r="B92" s="11">
        <v>1670144</v>
      </c>
      <c r="C92" s="9">
        <v>20060418</v>
      </c>
      <c r="D92" s="10">
        <v>5705088</v>
      </c>
      <c r="E92" s="10">
        <v>3780685</v>
      </c>
      <c r="F92" s="10">
        <v>1996814</v>
      </c>
      <c r="G92" s="10">
        <v>41195</v>
      </c>
      <c r="H92" s="10">
        <v>77850</v>
      </c>
      <c r="I92" s="10">
        <v>95586</v>
      </c>
      <c r="J92" s="10"/>
      <c r="K92" s="10">
        <v>2000556</v>
      </c>
      <c r="L92" s="10">
        <f t="shared" si="2"/>
        <v>35428336</v>
      </c>
    </row>
    <row r="93" spans="1:12" x14ac:dyDescent="0.35">
      <c r="A93" s="7">
        <v>42948</v>
      </c>
      <c r="B93" s="11">
        <v>1525552</v>
      </c>
      <c r="C93" s="9">
        <v>17765066</v>
      </c>
      <c r="D93" s="10">
        <v>5522978</v>
      </c>
      <c r="E93" s="10">
        <v>4816270</v>
      </c>
      <c r="F93" s="10">
        <v>1796197</v>
      </c>
      <c r="G93" s="10">
        <v>16837</v>
      </c>
      <c r="H93" s="10">
        <v>6122</v>
      </c>
      <c r="I93" s="10">
        <v>122138</v>
      </c>
      <c r="J93" s="10"/>
      <c r="K93" s="10">
        <v>2832932</v>
      </c>
      <c r="L93" s="10">
        <f t="shared" si="2"/>
        <v>34404092</v>
      </c>
    </row>
    <row r="94" spans="1:12" x14ac:dyDescent="0.35">
      <c r="A94" s="7">
        <v>42979</v>
      </c>
      <c r="B94" s="11">
        <v>2369499</v>
      </c>
      <c r="C94" s="9">
        <v>20455074</v>
      </c>
      <c r="D94" s="10">
        <v>5101415</v>
      </c>
      <c r="E94" s="10">
        <v>4957931</v>
      </c>
      <c r="F94" s="10">
        <v>1863105</v>
      </c>
      <c r="G94" s="10">
        <v>26071</v>
      </c>
      <c r="H94" s="10">
        <v>2423</v>
      </c>
      <c r="I94" s="10">
        <v>229111</v>
      </c>
      <c r="J94" s="10"/>
      <c r="K94" s="10">
        <v>1383841</v>
      </c>
      <c r="L94" s="10">
        <f t="shared" si="2"/>
        <v>36388470</v>
      </c>
    </row>
    <row r="95" spans="1:12" x14ac:dyDescent="0.35">
      <c r="A95" s="7">
        <v>43009</v>
      </c>
      <c r="B95" s="11">
        <v>1452916</v>
      </c>
      <c r="C95" s="9">
        <v>18434975</v>
      </c>
      <c r="D95" s="10">
        <v>4908091</v>
      </c>
      <c r="E95" s="10">
        <v>5213626</v>
      </c>
      <c r="F95" s="10">
        <v>1283226</v>
      </c>
      <c r="G95" s="10">
        <v>13088</v>
      </c>
      <c r="H95" s="10">
        <v>52</v>
      </c>
      <c r="I95" s="10">
        <v>218987</v>
      </c>
      <c r="J95" s="10"/>
      <c r="K95" s="10">
        <v>2530341</v>
      </c>
      <c r="L95" s="10">
        <f t="shared" si="2"/>
        <v>34055302</v>
      </c>
    </row>
    <row r="96" spans="1:12" x14ac:dyDescent="0.35">
      <c r="A96" s="7">
        <v>43040</v>
      </c>
      <c r="B96" s="11">
        <v>1219676</v>
      </c>
      <c r="C96" s="9">
        <v>18431880</v>
      </c>
      <c r="D96" s="10">
        <v>4443143</v>
      </c>
      <c r="E96" s="10">
        <v>3701076</v>
      </c>
      <c r="F96" s="10">
        <v>992663</v>
      </c>
      <c r="G96" s="10">
        <v>13496</v>
      </c>
      <c r="H96" s="10">
        <v>328</v>
      </c>
      <c r="I96" s="10">
        <v>144833</v>
      </c>
      <c r="J96" s="10"/>
      <c r="K96" s="10">
        <v>1966197</v>
      </c>
      <c r="L96" s="10">
        <f t="shared" si="2"/>
        <v>30913292</v>
      </c>
    </row>
    <row r="97" spans="1:12" ht="15" thickBot="1" x14ac:dyDescent="0.4">
      <c r="A97" s="55">
        <v>43070</v>
      </c>
      <c r="B97" s="67">
        <v>1264028.45</v>
      </c>
      <c r="C97" s="68">
        <v>18661864.890000001</v>
      </c>
      <c r="D97" s="69">
        <v>3751476.46</v>
      </c>
      <c r="E97" s="69">
        <v>5550978</v>
      </c>
      <c r="F97" s="69">
        <v>2005467.14</v>
      </c>
      <c r="G97" s="69">
        <v>18412.669999999998</v>
      </c>
      <c r="H97" s="69">
        <v>1602.25</v>
      </c>
      <c r="I97" s="69">
        <v>143172.32999999999</v>
      </c>
      <c r="J97" s="69"/>
      <c r="K97" s="69">
        <v>1346369.72</v>
      </c>
      <c r="L97" s="69">
        <f t="shared" si="2"/>
        <v>32743371.91</v>
      </c>
    </row>
    <row r="98" spans="1:12" x14ac:dyDescent="0.35">
      <c r="A98" s="53">
        <v>43101</v>
      </c>
      <c r="B98" s="116">
        <v>2155367.17</v>
      </c>
      <c r="C98" s="70">
        <v>15607426.26</v>
      </c>
      <c r="D98" s="116">
        <v>4276774.08</v>
      </c>
      <c r="E98" s="70">
        <v>4033951.58</v>
      </c>
      <c r="F98" s="116">
        <v>964585.45</v>
      </c>
      <c r="G98" s="70">
        <v>20058.8</v>
      </c>
      <c r="H98" s="116"/>
      <c r="I98" s="70">
        <v>86197.46</v>
      </c>
      <c r="J98" s="116"/>
      <c r="K98" s="70">
        <v>1434814.18</v>
      </c>
      <c r="L98" s="115">
        <f t="shared" si="2"/>
        <v>28579174.979999997</v>
      </c>
    </row>
    <row r="99" spans="1:12" x14ac:dyDescent="0.35">
      <c r="A99" s="7">
        <v>43132</v>
      </c>
      <c r="B99" s="77">
        <v>1467610.49</v>
      </c>
      <c r="C99" s="11">
        <v>16192602.130000001</v>
      </c>
      <c r="D99" s="77">
        <v>4405758.09</v>
      </c>
      <c r="E99" s="11">
        <v>3992183.37</v>
      </c>
      <c r="F99" s="77">
        <v>1679849.44</v>
      </c>
      <c r="G99" s="11">
        <v>20802.38</v>
      </c>
      <c r="H99" s="77"/>
      <c r="I99" s="11">
        <v>116576.07</v>
      </c>
      <c r="J99" s="77"/>
      <c r="K99" s="11">
        <v>1112930.53</v>
      </c>
      <c r="L99" s="104">
        <f t="shared" si="2"/>
        <v>28988312.500000004</v>
      </c>
    </row>
    <row r="100" spans="1:12" x14ac:dyDescent="0.35">
      <c r="A100" s="7">
        <v>43160</v>
      </c>
      <c r="B100" s="77">
        <v>1489899</v>
      </c>
      <c r="C100" s="11">
        <v>24957743.25</v>
      </c>
      <c r="D100" s="77">
        <v>5563588.4100000001</v>
      </c>
      <c r="E100" s="11">
        <v>8668976.2400000002</v>
      </c>
      <c r="F100" s="77">
        <v>1085783.8500000001</v>
      </c>
      <c r="G100" s="11">
        <v>43222.74</v>
      </c>
      <c r="H100" s="77">
        <v>97.25</v>
      </c>
      <c r="I100" s="11">
        <v>137946.1</v>
      </c>
      <c r="J100" s="77"/>
      <c r="K100" s="11">
        <v>1812866.24</v>
      </c>
      <c r="L100" s="104">
        <f t="shared" si="2"/>
        <v>43760123.080000006</v>
      </c>
    </row>
    <row r="101" spans="1:12" x14ac:dyDescent="0.35">
      <c r="A101" s="7">
        <v>43191</v>
      </c>
      <c r="B101" s="77">
        <v>1268942.07</v>
      </c>
      <c r="C101" s="11">
        <v>22471543.18</v>
      </c>
      <c r="D101" s="77">
        <v>5515459.8700000001</v>
      </c>
      <c r="E101" s="11">
        <v>4567621.76</v>
      </c>
      <c r="F101" s="77">
        <v>873346.53</v>
      </c>
      <c r="G101" s="11">
        <v>37769.89</v>
      </c>
      <c r="H101" s="77">
        <v>1331.82</v>
      </c>
      <c r="I101" s="11">
        <v>101040.82</v>
      </c>
      <c r="J101" s="77">
        <v>117222</v>
      </c>
      <c r="K101" s="11">
        <v>1984394.3</v>
      </c>
      <c r="L101" s="104">
        <f t="shared" si="2"/>
        <v>36938672.240000002</v>
      </c>
    </row>
    <row r="102" spans="1:12" x14ac:dyDescent="0.35">
      <c r="A102" s="7">
        <v>43221</v>
      </c>
      <c r="B102" s="77">
        <v>1499365.91</v>
      </c>
      <c r="C102" s="11">
        <v>23975952.23</v>
      </c>
      <c r="D102" s="77">
        <v>6546188.4500000002</v>
      </c>
      <c r="E102" s="11">
        <v>5819035.3300000001</v>
      </c>
      <c r="F102" s="77">
        <v>1800392.46</v>
      </c>
      <c r="G102" s="11">
        <v>22856.55</v>
      </c>
      <c r="H102" s="77">
        <v>484.62</v>
      </c>
      <c r="I102" s="11">
        <v>78464.72</v>
      </c>
      <c r="J102" s="77">
        <v>114261</v>
      </c>
      <c r="K102" s="11">
        <v>2360417.39</v>
      </c>
      <c r="L102" s="104">
        <v>42217418.659999996</v>
      </c>
    </row>
    <row r="103" spans="1:12" x14ac:dyDescent="0.35">
      <c r="A103" s="7">
        <v>43252</v>
      </c>
      <c r="B103" s="77">
        <v>1403635.1</v>
      </c>
      <c r="C103" s="11">
        <v>22868376.399999999</v>
      </c>
      <c r="D103" s="77">
        <v>6680844.8600000003</v>
      </c>
      <c r="E103" s="11">
        <v>6267710.2400000002</v>
      </c>
      <c r="F103" s="77">
        <v>1902312.25</v>
      </c>
      <c r="G103" s="11">
        <v>24185.71</v>
      </c>
      <c r="H103" s="77">
        <v>295.5</v>
      </c>
      <c r="I103" s="11">
        <v>591474.54</v>
      </c>
      <c r="J103" s="77">
        <v>46116</v>
      </c>
      <c r="K103" s="11">
        <v>1463552.73</v>
      </c>
      <c r="L103" s="104">
        <f t="shared" si="2"/>
        <v>41248503.329999998</v>
      </c>
    </row>
    <row r="104" spans="1:12" x14ac:dyDescent="0.35">
      <c r="A104" s="7">
        <v>43282</v>
      </c>
      <c r="B104" s="77">
        <v>2106543.2999999998</v>
      </c>
      <c r="C104" s="11">
        <v>15903722.02</v>
      </c>
      <c r="D104" s="77">
        <v>6951652.8099999996</v>
      </c>
      <c r="E104" s="11">
        <v>4509737.51</v>
      </c>
      <c r="F104" s="77">
        <v>1541162.37</v>
      </c>
      <c r="G104" s="11">
        <v>23007.38</v>
      </c>
      <c r="H104" s="77"/>
      <c r="I104" s="11">
        <v>204249.86</v>
      </c>
      <c r="J104" s="77">
        <v>150166</v>
      </c>
      <c r="K104" s="11">
        <v>1606723.74</v>
      </c>
      <c r="L104" s="104">
        <f t="shared" si="2"/>
        <v>32996964.989999998</v>
      </c>
    </row>
    <row r="105" spans="1:12" x14ac:dyDescent="0.35">
      <c r="A105" s="7">
        <v>43313</v>
      </c>
      <c r="B105" s="77">
        <v>1726866.9</v>
      </c>
      <c r="C105" s="11">
        <v>20760569.73</v>
      </c>
      <c r="D105" s="77">
        <v>6298288.3200000003</v>
      </c>
      <c r="E105" s="11">
        <v>2528133.38</v>
      </c>
      <c r="F105" s="77">
        <v>1563438.45</v>
      </c>
      <c r="G105" s="11">
        <v>37997.730000000003</v>
      </c>
      <c r="H105" s="77"/>
      <c r="I105" s="11">
        <v>115807.62</v>
      </c>
      <c r="J105" s="77">
        <v>76275</v>
      </c>
      <c r="K105" s="11">
        <v>1627102.19</v>
      </c>
      <c r="L105" s="104">
        <v>34734479.32</v>
      </c>
    </row>
    <row r="106" spans="1:12" x14ac:dyDescent="0.35">
      <c r="A106" s="7">
        <v>43344</v>
      </c>
      <c r="B106" s="77">
        <v>1369149.97</v>
      </c>
      <c r="C106" s="11">
        <v>20594677.32</v>
      </c>
      <c r="D106" s="77">
        <v>5674000.1399999997</v>
      </c>
      <c r="E106" s="11">
        <v>5826168.2599999998</v>
      </c>
      <c r="F106" s="77">
        <v>1172872.33</v>
      </c>
      <c r="G106" s="11">
        <v>13025</v>
      </c>
      <c r="H106" s="77">
        <v>13276</v>
      </c>
      <c r="I106" s="11">
        <v>235418.34</v>
      </c>
      <c r="J106" s="77">
        <v>59777</v>
      </c>
      <c r="K106" s="11">
        <v>945049.4</v>
      </c>
      <c r="L106" s="104">
        <f t="shared" si="2"/>
        <v>35903413.759999998</v>
      </c>
    </row>
    <row r="107" spans="1:12" x14ac:dyDescent="0.35">
      <c r="A107" s="55">
        <v>43374</v>
      </c>
      <c r="B107" s="108">
        <v>1319807.03</v>
      </c>
      <c r="C107" s="11">
        <v>20906117.34</v>
      </c>
      <c r="D107" s="77">
        <v>6523299.6399999997</v>
      </c>
      <c r="E107" s="11">
        <v>5446115.7000000002</v>
      </c>
      <c r="F107" s="77">
        <v>1083530.68</v>
      </c>
      <c r="G107" s="11">
        <v>26908.55</v>
      </c>
      <c r="H107" s="77"/>
      <c r="I107" s="11">
        <v>223290.74</v>
      </c>
      <c r="J107" s="77">
        <v>83057</v>
      </c>
      <c r="K107" s="11">
        <v>1109869.23</v>
      </c>
      <c r="L107" s="104">
        <f t="shared" si="2"/>
        <v>36721995.909999996</v>
      </c>
    </row>
    <row r="108" spans="1:12" x14ac:dyDescent="0.35">
      <c r="A108" s="107">
        <v>43405</v>
      </c>
      <c r="B108" s="117">
        <v>1493901.28</v>
      </c>
      <c r="C108" s="37">
        <v>19166846.039999999</v>
      </c>
      <c r="D108" s="113">
        <v>4487611.58</v>
      </c>
      <c r="E108" s="37">
        <v>5102220.32</v>
      </c>
      <c r="F108" s="113">
        <v>981052.89</v>
      </c>
      <c r="G108" s="37">
        <v>16355.2</v>
      </c>
      <c r="H108" s="113"/>
      <c r="I108" s="37">
        <v>95985.52</v>
      </c>
      <c r="J108" s="113">
        <v>46807</v>
      </c>
      <c r="K108" s="37">
        <v>1075618.82</v>
      </c>
      <c r="L108" s="111">
        <f t="shared" si="2"/>
        <v>32466398.649999999</v>
      </c>
    </row>
    <row r="109" spans="1:12" ht="15" thickBot="1" x14ac:dyDescent="0.4">
      <c r="A109" s="114">
        <v>43435</v>
      </c>
      <c r="B109" s="78">
        <v>1047650.81</v>
      </c>
      <c r="C109" s="46">
        <v>18243752.300000001</v>
      </c>
      <c r="D109" s="78">
        <v>6590378.0499999998</v>
      </c>
      <c r="E109" s="46">
        <v>5146157.51</v>
      </c>
      <c r="F109" s="78">
        <v>998214.83</v>
      </c>
      <c r="G109" s="46">
        <v>30986.03</v>
      </c>
      <c r="H109" s="78">
        <v>77429.64</v>
      </c>
      <c r="I109" s="46">
        <v>274311.09999999998</v>
      </c>
      <c r="J109" s="78">
        <v>41148</v>
      </c>
      <c r="K109" s="46">
        <v>711133.09</v>
      </c>
      <c r="L109" s="106">
        <f t="shared" si="2"/>
        <v>33161161.360000003</v>
      </c>
    </row>
    <row r="110" spans="1:12" x14ac:dyDescent="0.35">
      <c r="A110" s="53">
        <v>43484</v>
      </c>
      <c r="B110" s="70">
        <v>1065752.99</v>
      </c>
      <c r="C110" s="71">
        <v>19588903.370000001</v>
      </c>
      <c r="D110" s="72">
        <v>4410681.0199999996</v>
      </c>
      <c r="E110" s="72">
        <v>5007888.59</v>
      </c>
      <c r="F110" s="72">
        <v>872920.71</v>
      </c>
      <c r="G110" s="72">
        <v>24370.19</v>
      </c>
      <c r="H110" s="72">
        <v>575.5</v>
      </c>
      <c r="I110" s="72">
        <v>426278.92</v>
      </c>
      <c r="J110" s="72">
        <v>32781</v>
      </c>
      <c r="K110" s="70">
        <v>1120162.71</v>
      </c>
      <c r="L110" s="70">
        <f>SUM(B110:K110)</f>
        <v>32550315.000000004</v>
      </c>
    </row>
    <row r="111" spans="1:12" x14ac:dyDescent="0.35">
      <c r="A111" s="7">
        <v>43515</v>
      </c>
      <c r="B111" s="11">
        <v>1440674.19</v>
      </c>
      <c r="C111" s="9">
        <v>18319860.23</v>
      </c>
      <c r="D111" s="10">
        <v>5139805.51</v>
      </c>
      <c r="E111" s="10">
        <v>3793735.1</v>
      </c>
      <c r="F111" s="10">
        <v>1016267</v>
      </c>
      <c r="G111" s="10">
        <v>47520.73</v>
      </c>
      <c r="H111" s="10">
        <v>5318.15</v>
      </c>
      <c r="I111" s="10">
        <v>162719.82</v>
      </c>
      <c r="J111" s="10">
        <v>53787</v>
      </c>
      <c r="K111" s="11">
        <v>703293.73</v>
      </c>
      <c r="L111" s="11">
        <v>30682981.460000001</v>
      </c>
    </row>
    <row r="112" spans="1:12" x14ac:dyDescent="0.35">
      <c r="A112" s="7">
        <v>43543</v>
      </c>
      <c r="B112" s="11">
        <v>1507971.41</v>
      </c>
      <c r="C112" s="9">
        <v>25381462.350000001</v>
      </c>
      <c r="D112" s="10">
        <v>4269538.59</v>
      </c>
      <c r="E112" s="10">
        <v>5924484.6299999999</v>
      </c>
      <c r="F112" s="10">
        <v>1296524.0900000001</v>
      </c>
      <c r="G112" s="10">
        <v>30224.17</v>
      </c>
      <c r="H112" s="10"/>
      <c r="I112" s="10">
        <v>359783.37</v>
      </c>
      <c r="J112" s="10">
        <v>68661</v>
      </c>
      <c r="K112" s="11">
        <v>656879.43999999994</v>
      </c>
      <c r="L112" s="11">
        <v>39495529.050000004</v>
      </c>
    </row>
    <row r="113" spans="1:12" x14ac:dyDescent="0.35">
      <c r="A113" s="7">
        <v>43574</v>
      </c>
      <c r="B113" s="100">
        <v>1477240.42</v>
      </c>
      <c r="C113" s="100">
        <v>23398051.800000001</v>
      </c>
      <c r="D113" s="100">
        <v>4776156.82</v>
      </c>
      <c r="E113" s="100">
        <v>5258566.72</v>
      </c>
      <c r="F113" s="100">
        <v>1259594.46</v>
      </c>
      <c r="G113" s="100">
        <v>22789.15</v>
      </c>
      <c r="H113" s="100"/>
      <c r="I113" s="100">
        <v>131743.91</v>
      </c>
      <c r="J113" s="100">
        <v>117168</v>
      </c>
      <c r="K113" s="100">
        <v>965161.11</v>
      </c>
      <c r="L113" s="11">
        <f t="shared" ref="L113:L121" si="3">SUM(B113:K113)</f>
        <v>37406472.389999993</v>
      </c>
    </row>
    <row r="114" spans="1:12" x14ac:dyDescent="0.35">
      <c r="A114" s="7">
        <v>43604</v>
      </c>
      <c r="B114" s="11">
        <v>1025132.88</v>
      </c>
      <c r="C114" s="9">
        <v>23420575.859999999</v>
      </c>
      <c r="D114" s="10">
        <v>4671452.41</v>
      </c>
      <c r="E114" s="10">
        <v>6377995.1699999999</v>
      </c>
      <c r="F114" s="10">
        <v>1660593.85</v>
      </c>
      <c r="G114" s="10">
        <v>18668.400000000001</v>
      </c>
      <c r="H114" s="10"/>
      <c r="I114" s="10">
        <v>319695.35999999999</v>
      </c>
      <c r="J114" s="10">
        <v>70139</v>
      </c>
      <c r="K114" s="11">
        <v>1006696.56</v>
      </c>
      <c r="L114" s="11">
        <f t="shared" si="3"/>
        <v>38570949.490000002</v>
      </c>
    </row>
    <row r="115" spans="1:12" x14ac:dyDescent="0.35">
      <c r="A115" s="7">
        <v>43635</v>
      </c>
      <c r="B115" s="11">
        <v>1030372.11</v>
      </c>
      <c r="C115" s="9">
        <v>23881325.289999999</v>
      </c>
      <c r="D115" s="10">
        <v>5210847.76</v>
      </c>
      <c r="E115" s="10">
        <v>6039589.7699999996</v>
      </c>
      <c r="F115" s="10">
        <v>1809656.57</v>
      </c>
      <c r="G115" s="10">
        <v>68936.89</v>
      </c>
      <c r="H115" s="10">
        <v>92254.5</v>
      </c>
      <c r="I115" s="10">
        <v>492224.15</v>
      </c>
      <c r="J115" s="10">
        <v>48930</v>
      </c>
      <c r="K115" s="11">
        <v>988659.54</v>
      </c>
      <c r="L115" s="11">
        <f t="shared" si="3"/>
        <v>39662796.579999991</v>
      </c>
    </row>
    <row r="116" spans="1:12" x14ac:dyDescent="0.35">
      <c r="A116" s="7">
        <v>43665</v>
      </c>
      <c r="B116" s="11">
        <v>1247814.5900000001</v>
      </c>
      <c r="C116" s="9">
        <v>22336343.800000001</v>
      </c>
      <c r="D116" s="10">
        <v>4724737.91</v>
      </c>
      <c r="E116" s="10">
        <v>5607573.4400000004</v>
      </c>
      <c r="F116" s="10">
        <v>1583551.16</v>
      </c>
      <c r="G116" s="10">
        <v>44911.57</v>
      </c>
      <c r="H116" s="10">
        <v>2151</v>
      </c>
      <c r="I116" s="10">
        <v>131935.87</v>
      </c>
      <c r="J116" s="10">
        <v>33017</v>
      </c>
      <c r="K116" s="11">
        <v>-1337358.46</v>
      </c>
      <c r="L116" s="11">
        <f t="shared" si="3"/>
        <v>34374677.879999995</v>
      </c>
    </row>
    <row r="117" spans="1:12" x14ac:dyDescent="0.35">
      <c r="A117" s="7">
        <v>43696</v>
      </c>
      <c r="B117" s="100">
        <v>1130239.7</v>
      </c>
      <c r="C117" s="100">
        <v>21036940.530000001</v>
      </c>
      <c r="D117" s="100">
        <v>4523691.47</v>
      </c>
      <c r="E117" s="100">
        <v>6307338.8399999999</v>
      </c>
      <c r="F117" s="100">
        <v>1863649.32</v>
      </c>
      <c r="G117" s="100">
        <v>34143.74</v>
      </c>
      <c r="H117" s="100">
        <v>26246.97</v>
      </c>
      <c r="I117" s="100">
        <v>323116.36</v>
      </c>
      <c r="J117" s="100">
        <v>66655</v>
      </c>
      <c r="K117" s="100">
        <v>1312319.51</v>
      </c>
      <c r="L117" s="11">
        <f t="shared" si="3"/>
        <v>36624341.439999998</v>
      </c>
    </row>
    <row r="118" spans="1:12" x14ac:dyDescent="0.35">
      <c r="A118" s="7">
        <v>43727</v>
      </c>
      <c r="B118" s="11">
        <v>1629312.67</v>
      </c>
      <c r="C118" s="9">
        <v>21190937.719999999</v>
      </c>
      <c r="D118" s="10">
        <v>4562120.25</v>
      </c>
      <c r="E118" s="10">
        <v>6577782.9100000001</v>
      </c>
      <c r="F118" s="10">
        <v>1833047.34</v>
      </c>
      <c r="G118" s="10">
        <v>29556.54</v>
      </c>
      <c r="H118" s="10">
        <v>4679.6899999999996</v>
      </c>
      <c r="I118" s="10">
        <v>537649.37</v>
      </c>
      <c r="J118" s="10">
        <v>78044</v>
      </c>
      <c r="K118" s="11">
        <v>934727.17</v>
      </c>
      <c r="L118" s="11">
        <f t="shared" si="3"/>
        <v>37377857.659999996</v>
      </c>
    </row>
    <row r="119" spans="1:12" x14ac:dyDescent="0.35">
      <c r="A119" s="7">
        <v>43757</v>
      </c>
      <c r="B119" s="11">
        <v>2656848.4700000002</v>
      </c>
      <c r="C119" s="9">
        <v>20272702.350000001</v>
      </c>
      <c r="D119" s="10">
        <v>4901744.92</v>
      </c>
      <c r="E119" s="10">
        <v>7244780.2199999997</v>
      </c>
      <c r="F119" s="10">
        <v>1140612.97</v>
      </c>
      <c r="G119" s="10">
        <v>28324.99</v>
      </c>
      <c r="H119" s="10">
        <v>2173.98</v>
      </c>
      <c r="I119" s="10">
        <v>278520.32000000001</v>
      </c>
      <c r="J119" s="10">
        <v>151112</v>
      </c>
      <c r="K119" s="11">
        <v>947448.14</v>
      </c>
      <c r="L119" s="11">
        <f t="shared" si="3"/>
        <v>37624268.359999999</v>
      </c>
    </row>
    <row r="120" spans="1:12" x14ac:dyDescent="0.35">
      <c r="A120" s="7">
        <v>43788</v>
      </c>
      <c r="B120" s="11">
        <v>1206130.33</v>
      </c>
      <c r="C120" s="9">
        <v>19147876.59</v>
      </c>
      <c r="D120" s="10">
        <v>3470872.03</v>
      </c>
      <c r="E120" s="10">
        <v>6236149.4500000002</v>
      </c>
      <c r="F120" s="10">
        <v>932576.4</v>
      </c>
      <c r="G120" s="10">
        <v>6477.31</v>
      </c>
      <c r="H120" s="10"/>
      <c r="I120" s="10">
        <v>283165.62</v>
      </c>
      <c r="J120" s="10">
        <v>76309</v>
      </c>
      <c r="K120" s="11">
        <v>953277.04</v>
      </c>
      <c r="L120" s="11">
        <f t="shared" si="3"/>
        <v>32312833.77</v>
      </c>
    </row>
    <row r="121" spans="1:12" ht="15" thickBot="1" x14ac:dyDescent="0.4">
      <c r="A121" s="15">
        <v>43818</v>
      </c>
      <c r="B121" s="54">
        <v>1709359.29</v>
      </c>
      <c r="C121" s="73">
        <v>18473324.170000002</v>
      </c>
      <c r="D121" s="74">
        <v>3548131.98</v>
      </c>
      <c r="E121" s="74">
        <v>6710608</v>
      </c>
      <c r="F121" s="74">
        <v>932787.1</v>
      </c>
      <c r="G121" s="74">
        <v>39106.42</v>
      </c>
      <c r="H121" s="74">
        <v>15472.19</v>
      </c>
      <c r="I121" s="74">
        <v>300770.08</v>
      </c>
      <c r="J121" s="74">
        <v>35422</v>
      </c>
      <c r="K121" s="54">
        <v>667877.29</v>
      </c>
      <c r="L121" s="54">
        <f t="shared" si="3"/>
        <v>32432858.520000003</v>
      </c>
    </row>
    <row r="122" spans="1:12" x14ac:dyDescent="0.35">
      <c r="A122" s="53">
        <v>43849</v>
      </c>
      <c r="B122" s="70">
        <v>1317510.6299999999</v>
      </c>
      <c r="C122" s="70">
        <v>18908391.469999999</v>
      </c>
      <c r="D122" s="70">
        <v>3238518.77</v>
      </c>
      <c r="E122" s="70">
        <v>6396071.6100000003</v>
      </c>
      <c r="F122" s="70">
        <v>1094803.05</v>
      </c>
      <c r="G122" s="70">
        <v>23506.080000000002</v>
      </c>
      <c r="H122" s="70">
        <v>225.28</v>
      </c>
      <c r="I122" s="70">
        <v>625457.24</v>
      </c>
      <c r="J122" s="70">
        <v>35278</v>
      </c>
      <c r="K122" s="70">
        <v>714235.65</v>
      </c>
      <c r="L122" s="70">
        <f>SUM(B122:K122)</f>
        <v>32353997.779999994</v>
      </c>
    </row>
    <row r="123" spans="1:12" x14ac:dyDescent="0.35">
      <c r="A123" s="7">
        <v>43880</v>
      </c>
      <c r="B123" s="11">
        <v>1087565.52</v>
      </c>
      <c r="C123" s="11">
        <v>18371334.370000001</v>
      </c>
      <c r="D123" s="11">
        <v>3654026.91</v>
      </c>
      <c r="E123" s="11">
        <v>5647061.1500000004</v>
      </c>
      <c r="F123" s="11">
        <v>804961.84</v>
      </c>
      <c r="G123" s="11">
        <v>17573.28</v>
      </c>
      <c r="H123" s="11"/>
      <c r="I123" s="11">
        <v>213692.95</v>
      </c>
      <c r="J123" s="11">
        <v>31910</v>
      </c>
      <c r="K123" s="11">
        <v>748844.91</v>
      </c>
      <c r="L123" s="11">
        <f t="shared" ref="L123:L124" si="4">SUM(B123:K123)</f>
        <v>30576970.930000003</v>
      </c>
    </row>
    <row r="124" spans="1:12" x14ac:dyDescent="0.35">
      <c r="A124" s="7">
        <v>43909</v>
      </c>
      <c r="B124" s="11">
        <v>1643059.41</v>
      </c>
      <c r="C124" s="11">
        <v>26374499.379999999</v>
      </c>
      <c r="D124" s="11">
        <v>4017911.97</v>
      </c>
      <c r="E124" s="11">
        <v>4881507.54</v>
      </c>
      <c r="F124" s="11">
        <v>1195488.8899999999</v>
      </c>
      <c r="G124" s="11">
        <v>9545.7999999999993</v>
      </c>
      <c r="H124" s="11">
        <v>2051.91</v>
      </c>
      <c r="I124" s="11">
        <v>193114.68</v>
      </c>
      <c r="J124" s="11">
        <v>48576</v>
      </c>
      <c r="K124" s="11">
        <v>1306309.96</v>
      </c>
      <c r="L124" s="11">
        <f t="shared" si="4"/>
        <v>39672065.539999992</v>
      </c>
    </row>
    <row r="125" spans="1:12" x14ac:dyDescent="0.35">
      <c r="A125" s="7">
        <v>43940</v>
      </c>
      <c r="B125" s="11">
        <v>1482040.58</v>
      </c>
      <c r="C125" s="11">
        <v>27736144.09</v>
      </c>
      <c r="D125" s="11">
        <v>3887471.46</v>
      </c>
      <c r="E125" s="11">
        <v>4003243.66</v>
      </c>
      <c r="F125" s="11">
        <v>1366305.07</v>
      </c>
      <c r="G125" s="11">
        <v>16709.580000000002</v>
      </c>
      <c r="H125" s="11">
        <v>4419.8900000000003</v>
      </c>
      <c r="I125" s="11">
        <v>367455.15</v>
      </c>
      <c r="J125" s="11">
        <v>62052</v>
      </c>
      <c r="K125" s="11">
        <v>816215.75</v>
      </c>
      <c r="L125" s="11">
        <f t="shared" ref="L125:L133" si="5">SUM(B125:K125)</f>
        <v>39742057.230000004</v>
      </c>
    </row>
    <row r="126" spans="1:12" x14ac:dyDescent="0.35">
      <c r="A126" s="7">
        <v>43970</v>
      </c>
      <c r="B126" s="11">
        <v>1294732.47</v>
      </c>
      <c r="C126" s="11">
        <v>26189325.640000001</v>
      </c>
      <c r="D126" s="11">
        <v>4047425.07</v>
      </c>
      <c r="E126" s="11">
        <v>3450901.43</v>
      </c>
      <c r="F126" s="11">
        <v>1227533.73</v>
      </c>
      <c r="G126" s="11">
        <v>32009.96</v>
      </c>
      <c r="H126" s="11">
        <v>1155.56</v>
      </c>
      <c r="I126" s="11">
        <v>379727.42</v>
      </c>
      <c r="J126" s="11">
        <v>26650</v>
      </c>
      <c r="K126" s="11">
        <v>934601.41</v>
      </c>
      <c r="L126" s="11">
        <f t="shared" si="5"/>
        <v>37584062.689999998</v>
      </c>
    </row>
    <row r="127" spans="1:12" x14ac:dyDescent="0.35">
      <c r="A127" s="7">
        <v>44001</v>
      </c>
      <c r="B127" s="11">
        <v>1620975.6</v>
      </c>
      <c r="C127" s="11">
        <v>27472029.870000001</v>
      </c>
      <c r="D127" s="11">
        <v>5327109.47</v>
      </c>
      <c r="E127" s="11">
        <v>2949435.07</v>
      </c>
      <c r="F127" s="11">
        <v>1789868.01</v>
      </c>
      <c r="G127" s="11">
        <v>85223.2</v>
      </c>
      <c r="H127" s="11">
        <v>18673.75</v>
      </c>
      <c r="I127" s="11">
        <v>557200.99</v>
      </c>
      <c r="J127" s="11">
        <v>27731</v>
      </c>
      <c r="K127" s="11">
        <v>1226527.79</v>
      </c>
      <c r="L127" s="11">
        <f t="shared" si="5"/>
        <v>41074774.750000007</v>
      </c>
    </row>
    <row r="128" spans="1:12" x14ac:dyDescent="0.35">
      <c r="A128" s="7">
        <v>44031</v>
      </c>
      <c r="B128" s="11">
        <v>1196428.51</v>
      </c>
      <c r="C128" s="11">
        <v>21402793.41</v>
      </c>
      <c r="D128" s="11">
        <v>5052290.0599999996</v>
      </c>
      <c r="E128" s="11">
        <v>4312794.4000000004</v>
      </c>
      <c r="F128" s="11">
        <v>1978636.19</v>
      </c>
      <c r="G128" s="11">
        <v>21931.91</v>
      </c>
      <c r="H128" s="11">
        <v>34655.550000000003</v>
      </c>
      <c r="I128" s="11">
        <v>429440.97</v>
      </c>
      <c r="J128" s="11">
        <v>44854</v>
      </c>
      <c r="K128" s="11">
        <v>844953.63</v>
      </c>
      <c r="L128" s="11">
        <f t="shared" si="5"/>
        <v>35318778.629999995</v>
      </c>
    </row>
    <row r="129" spans="1:12" x14ac:dyDescent="0.35">
      <c r="A129" s="7">
        <v>44062</v>
      </c>
      <c r="B129" s="11">
        <v>815033.54</v>
      </c>
      <c r="C129" s="11">
        <v>23096472</v>
      </c>
      <c r="D129" s="11">
        <v>4295156.46</v>
      </c>
      <c r="E129" s="11">
        <v>4456742.41</v>
      </c>
      <c r="F129" s="11">
        <v>1926403.9</v>
      </c>
      <c r="G129" s="11">
        <v>18287.55</v>
      </c>
      <c r="H129" s="11">
        <v>8056.4</v>
      </c>
      <c r="I129" s="11">
        <v>446712.33</v>
      </c>
      <c r="J129" s="11">
        <v>27645</v>
      </c>
      <c r="K129" s="11">
        <v>825534.1</v>
      </c>
      <c r="L129" s="11">
        <f t="shared" si="5"/>
        <v>35916043.689999998</v>
      </c>
    </row>
    <row r="130" spans="1:12" x14ac:dyDescent="0.35">
      <c r="A130" s="7">
        <v>44093</v>
      </c>
      <c r="B130" s="11">
        <v>942553.12</v>
      </c>
      <c r="C130" s="11">
        <v>24849183.199999999</v>
      </c>
      <c r="D130" s="11">
        <v>5358272.87</v>
      </c>
      <c r="E130" s="11">
        <v>6947752.0999999996</v>
      </c>
      <c r="F130" s="11">
        <v>1881174.6</v>
      </c>
      <c r="G130" s="11">
        <v>26743.33</v>
      </c>
      <c r="H130" s="11">
        <v>4420.99</v>
      </c>
      <c r="I130" s="11">
        <v>730846.55</v>
      </c>
      <c r="J130" s="11">
        <v>40443</v>
      </c>
      <c r="K130" s="11">
        <v>1171881.98</v>
      </c>
      <c r="L130" s="11">
        <f t="shared" si="5"/>
        <v>41953271.739999995</v>
      </c>
    </row>
    <row r="131" spans="1:12" x14ac:dyDescent="0.35">
      <c r="A131" s="7">
        <v>44123</v>
      </c>
      <c r="B131" s="11">
        <v>976068.99</v>
      </c>
      <c r="C131" s="11">
        <v>27407412.949999999</v>
      </c>
      <c r="D131" s="11">
        <v>4304883.8</v>
      </c>
      <c r="E131" s="11">
        <v>4978842.24</v>
      </c>
      <c r="F131" s="11">
        <v>1117104.74</v>
      </c>
      <c r="G131" s="11">
        <v>5916.23</v>
      </c>
      <c r="H131" s="11">
        <v>298</v>
      </c>
      <c r="I131" s="11">
        <v>246744.69</v>
      </c>
      <c r="J131" s="11">
        <v>48328</v>
      </c>
      <c r="K131" s="11">
        <v>707219.23</v>
      </c>
      <c r="L131" s="11">
        <f t="shared" si="5"/>
        <v>39792818.86999999</v>
      </c>
    </row>
    <row r="132" spans="1:12" x14ac:dyDescent="0.35">
      <c r="A132" s="7">
        <v>44154</v>
      </c>
      <c r="B132" s="11">
        <v>1473693.36</v>
      </c>
      <c r="C132" s="11">
        <v>24129440.109999999</v>
      </c>
      <c r="D132" s="11">
        <v>3713029.2</v>
      </c>
      <c r="E132" s="11">
        <v>2861402.97</v>
      </c>
      <c r="F132" s="11">
        <v>1162444.56</v>
      </c>
      <c r="G132" s="11">
        <v>46539.14</v>
      </c>
      <c r="H132" s="11"/>
      <c r="I132" s="11">
        <v>598694.35</v>
      </c>
      <c r="J132" s="11">
        <v>43787</v>
      </c>
      <c r="K132" s="11">
        <v>607077.85</v>
      </c>
      <c r="L132" s="11">
        <f t="shared" si="5"/>
        <v>34636108.539999999</v>
      </c>
    </row>
    <row r="133" spans="1:12" ht="15" thickBot="1" x14ac:dyDescent="0.4">
      <c r="A133" s="15">
        <v>44184</v>
      </c>
      <c r="B133" s="54">
        <v>1191579.3700000001</v>
      </c>
      <c r="C133" s="54">
        <v>25261474.449999999</v>
      </c>
      <c r="D133" s="54">
        <v>4060845.31</v>
      </c>
      <c r="E133" s="54">
        <v>4395074.3600000003</v>
      </c>
      <c r="F133" s="54">
        <v>1266563.3700000001</v>
      </c>
      <c r="G133" s="54">
        <v>16061.83</v>
      </c>
      <c r="H133" s="54">
        <v>5447.6</v>
      </c>
      <c r="I133" s="54">
        <v>431009.16</v>
      </c>
      <c r="J133" s="54">
        <v>48850</v>
      </c>
      <c r="K133" s="54">
        <v>746303.11</v>
      </c>
      <c r="L133" s="54">
        <f t="shared" si="5"/>
        <v>37423208.559999995</v>
      </c>
    </row>
    <row r="134" spans="1:12" x14ac:dyDescent="0.35">
      <c r="A134" s="53">
        <v>44215</v>
      </c>
      <c r="B134" s="70">
        <v>1024056.97</v>
      </c>
      <c r="C134" s="70">
        <v>22379537.710000001</v>
      </c>
      <c r="D134" s="70">
        <v>3374438.15</v>
      </c>
      <c r="E134" s="70">
        <v>2444135.4900000002</v>
      </c>
      <c r="F134" s="70">
        <v>1264572.0900000001</v>
      </c>
      <c r="G134" s="70">
        <v>17894.810000000001</v>
      </c>
      <c r="H134" s="70">
        <v>100288.32000000001</v>
      </c>
      <c r="I134" s="70">
        <v>269115.40999999997</v>
      </c>
      <c r="J134" s="70">
        <v>37396</v>
      </c>
      <c r="K134" s="70">
        <v>745174.82</v>
      </c>
      <c r="L134" s="70">
        <f>SUM(B134:K134)</f>
        <v>31656609.77</v>
      </c>
    </row>
    <row r="135" spans="1:12" x14ac:dyDescent="0.35">
      <c r="A135" s="7">
        <v>44246</v>
      </c>
      <c r="B135" s="11">
        <v>922599.71</v>
      </c>
      <c r="C135" s="11">
        <v>25514726.68</v>
      </c>
      <c r="D135" s="11">
        <v>3895816.27</v>
      </c>
      <c r="E135" s="11">
        <v>4588692.87</v>
      </c>
      <c r="F135" s="11">
        <v>1112888.6200000001</v>
      </c>
      <c r="G135" s="11">
        <v>9677.69</v>
      </c>
      <c r="H135" s="11">
        <v>2226.8000000000002</v>
      </c>
      <c r="I135" s="11">
        <v>567958.6</v>
      </c>
      <c r="J135" s="11">
        <v>28527</v>
      </c>
      <c r="K135" s="11">
        <v>537503.96</v>
      </c>
      <c r="L135" s="11">
        <f t="shared" ref="L135:L145" si="6">SUM(B135:K135)</f>
        <v>37180618.199999996</v>
      </c>
    </row>
    <row r="136" spans="1:12" x14ac:dyDescent="0.35">
      <c r="A136" s="7">
        <v>44274</v>
      </c>
      <c r="B136" s="11">
        <v>1445508.58</v>
      </c>
      <c r="C136" s="11">
        <v>35063803.789999999</v>
      </c>
      <c r="D136" s="11">
        <v>5802283.5899999999</v>
      </c>
      <c r="E136" s="11">
        <v>4359128.34</v>
      </c>
      <c r="F136" s="11">
        <v>2001111.98</v>
      </c>
      <c r="G136" s="11">
        <v>56001.279999999999</v>
      </c>
      <c r="H136" s="11">
        <v>20024.13</v>
      </c>
      <c r="I136" s="11">
        <v>1116265.69</v>
      </c>
      <c r="J136" s="11">
        <v>107240</v>
      </c>
      <c r="K136" s="11">
        <v>1517812.1</v>
      </c>
      <c r="L136" s="11">
        <f t="shared" si="6"/>
        <v>51489179.479999997</v>
      </c>
    </row>
    <row r="137" spans="1:12" x14ac:dyDescent="0.35">
      <c r="A137" s="7">
        <v>44305</v>
      </c>
      <c r="B137" s="11">
        <v>1121042.99</v>
      </c>
      <c r="C137" s="11">
        <v>29638811.050000001</v>
      </c>
      <c r="D137" s="11">
        <v>4980372.92</v>
      </c>
      <c r="E137" s="11">
        <v>3632876.68</v>
      </c>
      <c r="F137" s="11">
        <v>1814573.66</v>
      </c>
      <c r="G137" s="11">
        <v>14783.57</v>
      </c>
      <c r="H137" s="11">
        <v>1027</v>
      </c>
      <c r="I137" s="11">
        <v>472404.72</v>
      </c>
      <c r="J137" s="11">
        <v>202898</v>
      </c>
      <c r="K137" s="11">
        <v>1004428.98</v>
      </c>
      <c r="L137" s="11">
        <f t="shared" si="6"/>
        <v>42883219.569999993</v>
      </c>
    </row>
    <row r="138" spans="1:12" x14ac:dyDescent="0.35">
      <c r="A138" s="7">
        <v>44335</v>
      </c>
      <c r="B138" s="11">
        <v>711894.16</v>
      </c>
      <c r="C138" s="11">
        <v>26801277.920000002</v>
      </c>
      <c r="D138" s="11">
        <v>5637297.1299999999</v>
      </c>
      <c r="E138" s="11">
        <v>4035866.15</v>
      </c>
      <c r="F138" s="11">
        <v>1755271.02</v>
      </c>
      <c r="G138" s="11">
        <v>23187.91</v>
      </c>
      <c r="H138" s="11"/>
      <c r="I138" s="11">
        <v>516228.53</v>
      </c>
      <c r="J138" s="11">
        <v>114384</v>
      </c>
      <c r="K138" s="11">
        <v>769124.14</v>
      </c>
      <c r="L138" s="11">
        <v>40364530.960000001</v>
      </c>
    </row>
    <row r="139" spans="1:12" x14ac:dyDescent="0.35">
      <c r="A139" s="7">
        <v>44366</v>
      </c>
      <c r="B139" s="11">
        <v>1971671.33</v>
      </c>
      <c r="C139" s="11">
        <v>31287740.329999998</v>
      </c>
      <c r="D139" s="11">
        <v>6920516.2400000002</v>
      </c>
      <c r="E139" s="11">
        <v>4450351.55</v>
      </c>
      <c r="F139" s="11">
        <v>2766396.23</v>
      </c>
      <c r="G139" s="11">
        <v>27564.38</v>
      </c>
      <c r="H139" s="11">
        <v>196134.84</v>
      </c>
      <c r="I139" s="11">
        <v>455920.56</v>
      </c>
      <c r="J139" s="11">
        <v>156994</v>
      </c>
      <c r="K139" s="11">
        <v>1041414.1</v>
      </c>
      <c r="L139" s="11">
        <f t="shared" si="6"/>
        <v>49274703.560000002</v>
      </c>
    </row>
    <row r="140" spans="1:12" x14ac:dyDescent="0.35">
      <c r="A140" s="7">
        <v>44396</v>
      </c>
      <c r="B140" s="11">
        <v>1812383.02</v>
      </c>
      <c r="C140" s="11">
        <v>27367463.82</v>
      </c>
      <c r="D140" s="11">
        <v>5762118.7199999997</v>
      </c>
      <c r="E140" s="11">
        <v>3468169.25</v>
      </c>
      <c r="F140" s="11">
        <v>2515677.08</v>
      </c>
      <c r="G140" s="11">
        <v>8200.5499999999993</v>
      </c>
      <c r="H140" s="11">
        <v>8498.58</v>
      </c>
      <c r="I140" s="11">
        <v>538742.07999999996</v>
      </c>
      <c r="J140" s="11">
        <v>301984.09999999998</v>
      </c>
      <c r="K140" s="11">
        <v>979380.24</v>
      </c>
      <c r="L140" s="11">
        <f t="shared" si="6"/>
        <v>42762617.439999998</v>
      </c>
    </row>
    <row r="141" spans="1:12" x14ac:dyDescent="0.35">
      <c r="A141" s="7">
        <v>44427</v>
      </c>
      <c r="B141" s="11">
        <v>1231860.95</v>
      </c>
      <c r="C141" s="11">
        <v>27518901.57</v>
      </c>
      <c r="D141" s="11">
        <v>6348674.8899999997</v>
      </c>
      <c r="E141" s="11">
        <v>3030285.46</v>
      </c>
      <c r="F141" s="11">
        <v>2281682.56</v>
      </c>
      <c r="G141" s="11">
        <v>32875.94</v>
      </c>
      <c r="H141" s="11"/>
      <c r="I141" s="11">
        <v>542762.36</v>
      </c>
      <c r="J141" s="11">
        <v>266021</v>
      </c>
      <c r="K141" s="11">
        <v>838947.22</v>
      </c>
      <c r="L141" s="11">
        <f t="shared" si="6"/>
        <v>42092011.949999996</v>
      </c>
    </row>
    <row r="142" spans="1:12" x14ac:dyDescent="0.35">
      <c r="A142" s="7">
        <v>44458</v>
      </c>
      <c r="B142" s="11">
        <v>1801593.64</v>
      </c>
      <c r="C142" s="11">
        <v>30848453.780000001</v>
      </c>
      <c r="D142" s="11">
        <v>7089501.4699999997</v>
      </c>
      <c r="E142" s="11">
        <v>3722855.74</v>
      </c>
      <c r="F142" s="11">
        <v>2434711.79</v>
      </c>
      <c r="G142" s="11">
        <v>14314.14</v>
      </c>
      <c r="H142" s="11">
        <v>25774</v>
      </c>
      <c r="I142" s="11">
        <v>677102.55</v>
      </c>
      <c r="J142" s="11">
        <v>232514.34</v>
      </c>
      <c r="K142" s="11">
        <v>845121.31</v>
      </c>
      <c r="L142" s="11">
        <f>SUM(B142:K142)</f>
        <v>47691942.760000005</v>
      </c>
    </row>
    <row r="143" spans="1:12" x14ac:dyDescent="0.35">
      <c r="A143" s="7">
        <v>44488</v>
      </c>
      <c r="B143" s="11">
        <v>1653528.27</v>
      </c>
      <c r="C143" s="11">
        <v>28667179.280000001</v>
      </c>
      <c r="D143" s="11">
        <v>5789947.2000000002</v>
      </c>
      <c r="E143" s="11">
        <v>4296853.9400000004</v>
      </c>
      <c r="F143" s="11">
        <v>1971692.02</v>
      </c>
      <c r="G143" s="11">
        <v>19886.28</v>
      </c>
      <c r="H143" s="11"/>
      <c r="I143" s="11">
        <v>612154.93000000005</v>
      </c>
      <c r="J143" s="11">
        <v>92945</v>
      </c>
      <c r="K143" s="11">
        <v>1306203.44</v>
      </c>
      <c r="L143" s="11">
        <f t="shared" si="6"/>
        <v>44410390.359999999</v>
      </c>
    </row>
    <row r="144" spans="1:12" x14ac:dyDescent="0.35">
      <c r="A144" s="7">
        <v>44519</v>
      </c>
      <c r="B144" s="11">
        <v>1766694.77</v>
      </c>
      <c r="C144" s="11">
        <v>28982863.010000002</v>
      </c>
      <c r="D144" s="11">
        <v>5611075.0300000003</v>
      </c>
      <c r="E144" s="11">
        <v>4193058.24</v>
      </c>
      <c r="F144" s="11">
        <v>1790902.53</v>
      </c>
      <c r="G144" s="11">
        <v>4208.0200000000004</v>
      </c>
      <c r="H144" s="11">
        <v>25175.07</v>
      </c>
      <c r="I144" s="11">
        <v>301788.13</v>
      </c>
      <c r="J144" s="11">
        <v>108508</v>
      </c>
      <c r="K144" s="11">
        <v>993509.88</v>
      </c>
      <c r="L144" s="11">
        <f t="shared" si="6"/>
        <v>43777782.680000015</v>
      </c>
    </row>
    <row r="145" spans="1:12" ht="15" thickBot="1" x14ac:dyDescent="0.4">
      <c r="A145" s="15">
        <v>44549</v>
      </c>
      <c r="B145" s="54">
        <v>2304405.02</v>
      </c>
      <c r="C145" s="54">
        <v>30205794.620000001</v>
      </c>
      <c r="D145" s="54">
        <v>5604634.4299999997</v>
      </c>
      <c r="E145" s="54">
        <v>4489222.9000000004</v>
      </c>
      <c r="F145" s="54">
        <v>2397818.9700000002</v>
      </c>
      <c r="G145" s="54">
        <v>29242.47</v>
      </c>
      <c r="H145" s="54">
        <v>320071.21999999997</v>
      </c>
      <c r="I145" s="54">
        <v>560145.85</v>
      </c>
      <c r="J145" s="54">
        <v>73498.19</v>
      </c>
      <c r="K145" s="54">
        <v>910273.75</v>
      </c>
      <c r="L145" s="54">
        <f t="shared" si="6"/>
        <v>46895107.419999994</v>
      </c>
    </row>
    <row r="146" spans="1:12" x14ac:dyDescent="0.35">
      <c r="A146" s="53">
        <v>44583</v>
      </c>
      <c r="B146" s="70">
        <v>1818912.87</v>
      </c>
      <c r="C146" s="70">
        <v>26141334.600000001</v>
      </c>
      <c r="D146" s="70">
        <v>6024456.5300000003</v>
      </c>
      <c r="E146" s="70">
        <v>4584014.1500000004</v>
      </c>
      <c r="F146" s="70">
        <v>1866680.06</v>
      </c>
      <c r="G146" s="70">
        <v>13994.6</v>
      </c>
      <c r="H146" s="70">
        <v>917.46</v>
      </c>
      <c r="I146" s="70">
        <v>544219.27</v>
      </c>
      <c r="J146" s="70">
        <v>39300</v>
      </c>
      <c r="K146" s="70">
        <v>1075222.6100000001</v>
      </c>
      <c r="L146" s="70">
        <f>SUM(B146:K146)</f>
        <v>42109052.150000006</v>
      </c>
    </row>
    <row r="147" spans="1:12" x14ac:dyDescent="0.35">
      <c r="A147" s="7">
        <v>44614</v>
      </c>
      <c r="B147" s="11">
        <v>1357299.13</v>
      </c>
      <c r="C147" s="11">
        <v>26705521.100000001</v>
      </c>
      <c r="D147" s="11">
        <v>5681068.4699999997</v>
      </c>
      <c r="E147" s="11">
        <v>4287264.78</v>
      </c>
      <c r="F147" s="11">
        <v>1792665.25</v>
      </c>
      <c r="G147" s="11">
        <v>17199.150000000001</v>
      </c>
      <c r="H147" s="11"/>
      <c r="I147" s="11">
        <v>220397.74</v>
      </c>
      <c r="J147" s="11">
        <v>51326</v>
      </c>
      <c r="K147" s="11">
        <v>1262152.25</v>
      </c>
      <c r="L147" s="11">
        <f t="shared" ref="L147:L150" si="7">SUM(B147:K147)</f>
        <v>41374893.870000005</v>
      </c>
    </row>
    <row r="148" spans="1:12" x14ac:dyDescent="0.35">
      <c r="A148" s="7">
        <v>44642</v>
      </c>
      <c r="B148" s="11">
        <v>2194100.2200000002</v>
      </c>
      <c r="C148" s="11">
        <v>33445968.210000001</v>
      </c>
      <c r="D148" s="11">
        <v>7087143.0800000001</v>
      </c>
      <c r="E148" s="11">
        <v>6074633.0499999998</v>
      </c>
      <c r="F148" s="11">
        <v>2071139.45</v>
      </c>
      <c r="G148" s="11">
        <v>11949.97</v>
      </c>
      <c r="H148" s="11"/>
      <c r="I148" s="11">
        <v>987005.43</v>
      </c>
      <c r="J148" s="11">
        <v>208478.85</v>
      </c>
      <c r="K148" s="11">
        <v>1331286.07</v>
      </c>
      <c r="L148" s="11">
        <f t="shared" si="7"/>
        <v>53411704.329999998</v>
      </c>
    </row>
    <row r="149" spans="1:12" x14ac:dyDescent="0.35">
      <c r="A149" s="7">
        <v>44673</v>
      </c>
      <c r="B149" s="11">
        <v>1072620</v>
      </c>
      <c r="C149" s="11">
        <v>34777252</v>
      </c>
      <c r="D149" s="11">
        <v>6463752</v>
      </c>
      <c r="E149" s="11">
        <v>5676992</v>
      </c>
      <c r="F149" s="11">
        <v>2957086</v>
      </c>
      <c r="G149" s="11">
        <v>118233</v>
      </c>
      <c r="H149" s="11">
        <v>16646</v>
      </c>
      <c r="I149" s="11">
        <v>472927</v>
      </c>
      <c r="J149" s="11">
        <v>20305</v>
      </c>
      <c r="K149" s="11">
        <v>774216</v>
      </c>
      <c r="L149" s="11">
        <f t="shared" si="7"/>
        <v>52350029</v>
      </c>
    </row>
    <row r="150" spans="1:12" x14ac:dyDescent="0.35">
      <c r="A150" s="7">
        <v>44703</v>
      </c>
      <c r="B150" s="11">
        <v>1840723</v>
      </c>
      <c r="C150" s="11">
        <v>29631828</v>
      </c>
      <c r="D150" s="11">
        <v>7632593.21</v>
      </c>
      <c r="E150" s="11">
        <v>4171566</v>
      </c>
      <c r="F150" s="11">
        <v>2650680.5099999998</v>
      </c>
      <c r="G150" s="11">
        <v>27608.99</v>
      </c>
      <c r="H150" s="11">
        <v>2356.1999999999998</v>
      </c>
      <c r="I150" s="11">
        <v>1581567.56</v>
      </c>
      <c r="J150" s="11">
        <v>72711</v>
      </c>
      <c r="K150" s="11">
        <v>1130171.71</v>
      </c>
      <c r="L150" s="11">
        <f t="shared" si="7"/>
        <v>48741806.180000007</v>
      </c>
    </row>
    <row r="151" spans="1:12" x14ac:dyDescent="0.35">
      <c r="A151" s="7">
        <v>44734</v>
      </c>
      <c r="B151" s="11">
        <v>1733186</v>
      </c>
      <c r="C151" s="11">
        <v>31863667</v>
      </c>
      <c r="D151" s="11">
        <v>7860492</v>
      </c>
      <c r="E151" s="11">
        <v>4234730</v>
      </c>
      <c r="F151" s="11">
        <v>3780633</v>
      </c>
      <c r="G151" s="11">
        <v>20971</v>
      </c>
      <c r="H151" s="11">
        <v>3927</v>
      </c>
      <c r="I151" s="11">
        <v>522954</v>
      </c>
      <c r="J151" s="11">
        <v>233466</v>
      </c>
      <c r="K151" s="11">
        <v>1424652</v>
      </c>
      <c r="L151" s="11">
        <f t="shared" ref="L151:L153" si="8">SUM(B151:K151)</f>
        <v>51678678</v>
      </c>
    </row>
    <row r="152" spans="1:12" x14ac:dyDescent="0.35">
      <c r="A152" s="7">
        <v>44764</v>
      </c>
      <c r="B152" s="11">
        <v>2123628</v>
      </c>
      <c r="C152" s="11">
        <v>28044919</v>
      </c>
      <c r="D152" s="11">
        <v>6533403</v>
      </c>
      <c r="E152" s="11">
        <v>4453563</v>
      </c>
      <c r="F152" s="11">
        <v>3180362</v>
      </c>
      <c r="G152" s="11">
        <v>14838</v>
      </c>
      <c r="H152" s="11">
        <v>30650</v>
      </c>
      <c r="I152" s="11">
        <v>630554</v>
      </c>
      <c r="J152" s="11">
        <v>31702</v>
      </c>
      <c r="K152" s="11">
        <v>1212504</v>
      </c>
      <c r="L152" s="11">
        <f t="shared" si="8"/>
        <v>46256123</v>
      </c>
    </row>
    <row r="153" spans="1:12" x14ac:dyDescent="0.35">
      <c r="A153" s="7">
        <v>44795</v>
      </c>
      <c r="B153" s="11">
        <v>1894679</v>
      </c>
      <c r="C153" s="11">
        <v>25369097</v>
      </c>
      <c r="D153" s="11">
        <v>-6777873</v>
      </c>
      <c r="E153" s="11">
        <v>4824336</v>
      </c>
      <c r="F153" s="11">
        <v>3194558</v>
      </c>
      <c r="G153" s="11">
        <v>22960</v>
      </c>
      <c r="H153" s="11">
        <v>2720</v>
      </c>
      <c r="I153" s="11">
        <v>698307</v>
      </c>
      <c r="J153" s="11">
        <v>67867</v>
      </c>
      <c r="K153" s="11">
        <v>1113617</v>
      </c>
      <c r="L153" s="11">
        <f t="shared" si="8"/>
        <v>30410268</v>
      </c>
    </row>
    <row r="154" spans="1:12" x14ac:dyDescent="0.35">
      <c r="A154" s="7">
        <v>44826</v>
      </c>
      <c r="B154" s="11">
        <v>3284758.51</v>
      </c>
      <c r="C154" s="11">
        <v>29178619.460000001</v>
      </c>
      <c r="D154" s="11">
        <v>6669788.7199999997</v>
      </c>
      <c r="E154" s="11">
        <v>4869540.51</v>
      </c>
      <c r="F154" s="11">
        <v>2570200.04</v>
      </c>
      <c r="G154" s="11">
        <v>15849.69</v>
      </c>
      <c r="H154" s="11">
        <v>59000</v>
      </c>
      <c r="I154" s="11">
        <v>721099.73</v>
      </c>
      <c r="J154" s="11">
        <v>183524.52</v>
      </c>
      <c r="K154" s="11">
        <v>1957216.07</v>
      </c>
      <c r="L154" s="11">
        <f>SUM(B154:K154)</f>
        <v>49509597.249999993</v>
      </c>
    </row>
    <row r="155" spans="1:12" x14ac:dyDescent="0.35">
      <c r="A155" s="7">
        <v>44856</v>
      </c>
      <c r="B155" s="11">
        <v>2003309</v>
      </c>
      <c r="C155" s="11">
        <v>28090111</v>
      </c>
      <c r="D155" s="11">
        <v>6330706</v>
      </c>
      <c r="E155" s="11">
        <v>4298670</v>
      </c>
      <c r="F155" s="11">
        <v>2141409</v>
      </c>
      <c r="G155" s="11">
        <v>13952</v>
      </c>
      <c r="H155" s="11">
        <v>308</v>
      </c>
      <c r="I155" s="11">
        <v>699483</v>
      </c>
      <c r="J155" s="11">
        <v>61575</v>
      </c>
      <c r="K155" s="11">
        <v>838310</v>
      </c>
      <c r="L155" s="11">
        <f t="shared" ref="L155:L157" si="9">SUM(B155:K155)</f>
        <v>44477833</v>
      </c>
    </row>
    <row r="156" spans="1:12" x14ac:dyDescent="0.35">
      <c r="A156" s="7">
        <v>44887</v>
      </c>
      <c r="B156" s="11">
        <v>2474118</v>
      </c>
      <c r="C156" s="11">
        <v>24556630</v>
      </c>
      <c r="D156" s="11">
        <v>-1447727</v>
      </c>
      <c r="E156" s="11">
        <v>4632483</v>
      </c>
      <c r="F156" s="11">
        <v>1709421</v>
      </c>
      <c r="G156" s="11">
        <v>84896</v>
      </c>
      <c r="H156" s="11">
        <v>526</v>
      </c>
      <c r="I156" s="11">
        <v>691802</v>
      </c>
      <c r="J156" s="11">
        <v>48676</v>
      </c>
      <c r="K156" s="11">
        <v>727249</v>
      </c>
      <c r="L156" s="11">
        <f t="shared" si="9"/>
        <v>33478074</v>
      </c>
    </row>
    <row r="157" spans="1:12" ht="15" thickBot="1" x14ac:dyDescent="0.4">
      <c r="A157" s="15">
        <v>44917</v>
      </c>
      <c r="B157" s="54">
        <v>2550265</v>
      </c>
      <c r="C157" s="54">
        <v>25951542</v>
      </c>
      <c r="D157" s="54">
        <v>5694017</v>
      </c>
      <c r="E157" s="54">
        <v>4978321</v>
      </c>
      <c r="F157" s="54">
        <v>1924716</v>
      </c>
      <c r="G157" s="54">
        <v>95346</v>
      </c>
      <c r="H157" s="54">
        <v>127398</v>
      </c>
      <c r="I157" s="54">
        <v>1002136</v>
      </c>
      <c r="J157" s="54">
        <v>68723</v>
      </c>
      <c r="K157" s="54">
        <v>645325</v>
      </c>
      <c r="L157" s="54">
        <f t="shared" si="9"/>
        <v>43037789</v>
      </c>
    </row>
    <row r="158" spans="1:12" x14ac:dyDescent="0.35">
      <c r="A158" s="53">
        <v>44948</v>
      </c>
      <c r="B158" s="70">
        <v>1733613</v>
      </c>
      <c r="C158" s="70">
        <v>24910504</v>
      </c>
      <c r="D158" s="70">
        <v>4531464</v>
      </c>
      <c r="E158" s="70">
        <v>5679719</v>
      </c>
      <c r="F158" s="70">
        <v>1625994</v>
      </c>
      <c r="G158" s="70">
        <v>18536</v>
      </c>
      <c r="H158" s="70">
        <v>96532</v>
      </c>
      <c r="I158" s="70">
        <v>783823</v>
      </c>
      <c r="J158" s="70">
        <v>57170</v>
      </c>
      <c r="K158" s="70">
        <v>833742</v>
      </c>
      <c r="L158" s="70">
        <f>SUM(B158:K158)</f>
        <v>40271097</v>
      </c>
    </row>
    <row r="159" spans="1:12" x14ac:dyDescent="0.35">
      <c r="A159" s="7">
        <v>44979</v>
      </c>
      <c r="B159" s="11">
        <v>1374751</v>
      </c>
      <c r="C159" s="11">
        <v>21163132</v>
      </c>
      <c r="D159" s="11">
        <v>5025396</v>
      </c>
      <c r="E159" s="11">
        <v>5063387</v>
      </c>
      <c r="F159" s="11">
        <v>1383991</v>
      </c>
      <c r="G159" s="11">
        <v>25807</v>
      </c>
      <c r="H159" s="11">
        <v>145</v>
      </c>
      <c r="I159" s="11">
        <v>429262</v>
      </c>
      <c r="J159" s="11">
        <v>24162</v>
      </c>
      <c r="K159" s="11">
        <v>1068657</v>
      </c>
      <c r="L159" s="11">
        <f t="shared" ref="L159:L165" si="10">SUM(B159:K159)</f>
        <v>35558690</v>
      </c>
    </row>
    <row r="160" spans="1:12" x14ac:dyDescent="0.35">
      <c r="A160" s="7">
        <v>45007</v>
      </c>
      <c r="B160" s="301">
        <v>2938868.32</v>
      </c>
      <c r="C160" s="301">
        <v>32468022.920000002</v>
      </c>
      <c r="D160" s="301">
        <v>7880272.9400000004</v>
      </c>
      <c r="E160" s="301">
        <v>6866754.7400000002</v>
      </c>
      <c r="F160" s="301">
        <v>2263094.56</v>
      </c>
      <c r="G160" s="301">
        <v>45801.14</v>
      </c>
      <c r="H160" s="301">
        <v>704.73</v>
      </c>
      <c r="I160" s="301">
        <v>768307.28</v>
      </c>
      <c r="J160" s="301">
        <v>173030.12</v>
      </c>
      <c r="K160" s="300">
        <v>899713.77</v>
      </c>
      <c r="L160" s="11">
        <f t="shared" si="10"/>
        <v>54304570.520000003</v>
      </c>
    </row>
    <row r="161" spans="1:12" x14ac:dyDescent="0.35">
      <c r="A161" s="42">
        <v>45038</v>
      </c>
      <c r="B161" s="11">
        <v>1552859</v>
      </c>
      <c r="C161" s="11">
        <v>25990735</v>
      </c>
      <c r="D161" s="11">
        <v>4848583</v>
      </c>
      <c r="E161" s="11">
        <v>5087456</v>
      </c>
      <c r="F161" s="11">
        <v>2142455</v>
      </c>
      <c r="G161" s="11">
        <v>38181</v>
      </c>
      <c r="H161" s="11"/>
      <c r="I161" s="11">
        <v>528634</v>
      </c>
      <c r="J161" s="11">
        <v>-5394</v>
      </c>
      <c r="K161" s="11">
        <v>787825</v>
      </c>
      <c r="L161" s="11">
        <f t="shared" si="10"/>
        <v>40971334</v>
      </c>
    </row>
    <row r="162" spans="1:12" x14ac:dyDescent="0.35">
      <c r="A162" s="7">
        <v>45068</v>
      </c>
      <c r="B162" s="11">
        <v>2209003</v>
      </c>
      <c r="C162" s="11">
        <v>28065645</v>
      </c>
      <c r="D162" s="11">
        <v>6974380</v>
      </c>
      <c r="E162" s="11">
        <v>7028373</v>
      </c>
      <c r="F162" s="11">
        <v>2451183</v>
      </c>
      <c r="G162" s="11">
        <v>331486</v>
      </c>
      <c r="H162" s="11">
        <v>89</v>
      </c>
      <c r="I162" s="11">
        <v>830661</v>
      </c>
      <c r="J162" s="11">
        <v>51649</v>
      </c>
      <c r="K162" s="11">
        <v>854433</v>
      </c>
      <c r="L162" s="11">
        <f t="shared" si="10"/>
        <v>48796902</v>
      </c>
    </row>
    <row r="163" spans="1:12" x14ac:dyDescent="0.35">
      <c r="A163" s="7">
        <v>45099</v>
      </c>
      <c r="B163" s="11">
        <v>2609604</v>
      </c>
      <c r="C163" s="11">
        <v>29861113</v>
      </c>
      <c r="D163" s="11">
        <v>8540909</v>
      </c>
      <c r="E163" s="11">
        <v>5594699</v>
      </c>
      <c r="F163" s="11">
        <v>3690368</v>
      </c>
      <c r="G163" s="11">
        <v>64563</v>
      </c>
      <c r="H163" s="11">
        <v>-298792</v>
      </c>
      <c r="I163" s="11">
        <v>820246</v>
      </c>
      <c r="J163" s="11">
        <v>65406</v>
      </c>
      <c r="K163" s="11">
        <v>1094600</v>
      </c>
      <c r="L163" s="11">
        <f t="shared" si="10"/>
        <v>52042716</v>
      </c>
    </row>
    <row r="164" spans="1:12" x14ac:dyDescent="0.35">
      <c r="A164" s="42">
        <v>45129</v>
      </c>
      <c r="B164" s="11">
        <v>4538186</v>
      </c>
      <c r="C164" s="11">
        <v>26628616</v>
      </c>
      <c r="D164" s="11">
        <v>7082853</v>
      </c>
      <c r="E164" s="11">
        <v>3767342</v>
      </c>
      <c r="F164" s="11">
        <v>2607722</v>
      </c>
      <c r="G164" s="11">
        <v>24616</v>
      </c>
      <c r="H164" s="11">
        <v>1103</v>
      </c>
      <c r="I164" s="11">
        <v>1407129</v>
      </c>
      <c r="J164" s="11">
        <v>16460</v>
      </c>
      <c r="K164" s="11">
        <v>696195</v>
      </c>
      <c r="L164" s="11">
        <f t="shared" si="10"/>
        <v>46770222</v>
      </c>
    </row>
    <row r="165" spans="1:12" x14ac:dyDescent="0.35">
      <c r="A165" s="7">
        <v>45160</v>
      </c>
      <c r="B165" s="100">
        <v>3744518.46</v>
      </c>
      <c r="C165" s="100">
        <v>28605139.129999999</v>
      </c>
      <c r="D165" s="100">
        <v>6946577.4299999997</v>
      </c>
      <c r="E165" s="100">
        <v>4873382.45</v>
      </c>
      <c r="F165" s="100">
        <v>3169267.62</v>
      </c>
      <c r="G165" s="100">
        <v>47354.73</v>
      </c>
      <c r="H165" s="100"/>
      <c r="I165" s="100">
        <v>613169.89</v>
      </c>
      <c r="J165" s="100">
        <v>43134</v>
      </c>
      <c r="K165" s="100">
        <v>967553.35</v>
      </c>
      <c r="L165" s="11">
        <f t="shared" si="10"/>
        <v>49010097.059999995</v>
      </c>
    </row>
    <row r="166" spans="1:12" x14ac:dyDescent="0.35">
      <c r="A166" s="7">
        <v>45191</v>
      </c>
      <c r="B166" s="100">
        <v>1779130.62</v>
      </c>
      <c r="C166" s="100">
        <v>25466128.780000001</v>
      </c>
      <c r="D166" s="100">
        <v>7037957.5800000001</v>
      </c>
      <c r="E166" s="100">
        <v>3987821.77</v>
      </c>
      <c r="F166" s="100">
        <v>2246926.13</v>
      </c>
      <c r="G166" s="100">
        <v>39725.919999999998</v>
      </c>
      <c r="H166" s="100"/>
      <c r="I166" s="100">
        <v>1239722.32</v>
      </c>
      <c r="J166" s="100">
        <v>94111.13</v>
      </c>
      <c r="K166" s="100">
        <v>867578.28</v>
      </c>
      <c r="L166" s="11">
        <f>SUM(B166:K166)</f>
        <v>42759102.530000016</v>
      </c>
    </row>
    <row r="167" spans="1:12" x14ac:dyDescent="0.35">
      <c r="A167" s="42">
        <v>45221</v>
      </c>
      <c r="B167" s="11">
        <v>2290805</v>
      </c>
      <c r="C167" s="111">
        <v>23364785</v>
      </c>
      <c r="D167" s="37">
        <v>5885269</v>
      </c>
      <c r="E167" s="37">
        <v>4922375</v>
      </c>
      <c r="F167" s="37">
        <v>1775021</v>
      </c>
      <c r="G167" s="37">
        <v>41537</v>
      </c>
      <c r="H167" s="37">
        <v>5624</v>
      </c>
      <c r="I167" s="37">
        <v>578989</v>
      </c>
      <c r="J167" s="37">
        <v>68044</v>
      </c>
      <c r="K167" s="37">
        <v>733229</v>
      </c>
      <c r="L167" s="11">
        <f t="shared" ref="L167:L180" si="11">SUM(B167:K167)</f>
        <v>39665678</v>
      </c>
    </row>
    <row r="168" spans="1:12" x14ac:dyDescent="0.35">
      <c r="A168" s="7">
        <v>45252</v>
      </c>
      <c r="B168" s="100">
        <v>1250464.45</v>
      </c>
      <c r="C168" s="100">
        <v>21840739.210000001</v>
      </c>
      <c r="D168" s="100">
        <v>1043772.24</v>
      </c>
      <c r="E168" s="100">
        <v>3646603.92</v>
      </c>
      <c r="F168" s="100">
        <v>1655668.03</v>
      </c>
      <c r="G168" s="100">
        <v>20043.93</v>
      </c>
      <c r="H168" s="100">
        <v>59.95</v>
      </c>
      <c r="I168" s="100">
        <v>796051.44</v>
      </c>
      <c r="J168" s="100">
        <v>32631</v>
      </c>
      <c r="K168" s="122">
        <v>790778.67</v>
      </c>
      <c r="L168" s="11">
        <f t="shared" si="11"/>
        <v>31076812.840000004</v>
      </c>
    </row>
    <row r="169" spans="1:12" ht="15" thickBot="1" x14ac:dyDescent="0.4">
      <c r="A169" s="15">
        <v>45282</v>
      </c>
      <c r="B169" s="54">
        <v>1661855.56</v>
      </c>
      <c r="C169" s="54">
        <v>22838809.449999999</v>
      </c>
      <c r="D169" s="54">
        <v>5017957.5199999996</v>
      </c>
      <c r="E169" s="54">
        <v>3991109.32</v>
      </c>
      <c r="F169" s="54">
        <v>1409842.96</v>
      </c>
      <c r="G169" s="54">
        <v>43354.93</v>
      </c>
      <c r="H169" s="54"/>
      <c r="I169" s="54">
        <v>1194277.28</v>
      </c>
      <c r="J169" s="54">
        <v>181051.93</v>
      </c>
      <c r="K169" s="54">
        <v>505248.33</v>
      </c>
      <c r="L169" s="54">
        <f t="shared" si="11"/>
        <v>36843507.279999994</v>
      </c>
    </row>
    <row r="170" spans="1:12" x14ac:dyDescent="0.35">
      <c r="A170" s="53">
        <v>45313</v>
      </c>
      <c r="B170" s="132">
        <v>1222934.0900000001</v>
      </c>
      <c r="C170" s="132">
        <v>22450940.780000001</v>
      </c>
      <c r="D170" s="132">
        <v>6764922.75</v>
      </c>
      <c r="E170" s="132">
        <v>3463762.26</v>
      </c>
      <c r="F170" s="132">
        <v>1312826.44</v>
      </c>
      <c r="G170" s="132">
        <v>18775.78</v>
      </c>
      <c r="H170" s="132">
        <v>1557.69</v>
      </c>
      <c r="I170" s="132">
        <v>379684.26</v>
      </c>
      <c r="J170" s="132">
        <v>15341</v>
      </c>
      <c r="K170" s="132">
        <v>644587.89</v>
      </c>
      <c r="L170" s="11">
        <f t="shared" si="11"/>
        <v>36275332.939999998</v>
      </c>
    </row>
    <row r="171" spans="1:12" x14ac:dyDescent="0.35">
      <c r="A171" s="7">
        <v>45344</v>
      </c>
      <c r="B171" s="100">
        <v>1471860.33</v>
      </c>
      <c r="C171" s="100">
        <v>22508543.969999999</v>
      </c>
      <c r="D171" s="100">
        <v>6243321.2000000002</v>
      </c>
      <c r="E171" s="100">
        <v>4401896.91</v>
      </c>
      <c r="F171" s="100">
        <v>1753309.15</v>
      </c>
      <c r="G171" s="100">
        <v>48797.93</v>
      </c>
      <c r="H171" s="100">
        <v>7560.78</v>
      </c>
      <c r="I171" s="100">
        <v>589266.75</v>
      </c>
      <c r="J171" s="100">
        <v>37262</v>
      </c>
      <c r="K171" s="100">
        <v>1238563.98</v>
      </c>
      <c r="L171" s="11">
        <f t="shared" si="11"/>
        <v>38300382.999999993</v>
      </c>
    </row>
    <row r="172" spans="1:12" x14ac:dyDescent="0.35">
      <c r="A172" s="42">
        <v>45373</v>
      </c>
      <c r="B172" s="100">
        <v>1684532.63</v>
      </c>
      <c r="C172" s="100">
        <v>29363478.879999999</v>
      </c>
      <c r="D172" s="100">
        <v>6251356.0800000001</v>
      </c>
      <c r="E172" s="100">
        <v>4123834.55</v>
      </c>
      <c r="F172" s="299">
        <v>1584182.44</v>
      </c>
      <c r="G172" s="100">
        <v>106876.49</v>
      </c>
      <c r="H172" s="100"/>
      <c r="I172" s="100">
        <v>856907.22</v>
      </c>
      <c r="J172" s="100">
        <v>143070.99</v>
      </c>
      <c r="K172" s="122">
        <v>696183.42</v>
      </c>
      <c r="L172" s="11">
        <f t="shared" si="11"/>
        <v>44810422.699999996</v>
      </c>
    </row>
    <row r="173" spans="1:12" x14ac:dyDescent="0.35">
      <c r="A173" s="7">
        <v>45404</v>
      </c>
      <c r="B173" s="11">
        <v>1413585.91</v>
      </c>
      <c r="C173" s="11">
        <v>28576508.09</v>
      </c>
      <c r="D173" s="11">
        <v>7161362.0199999996</v>
      </c>
      <c r="E173" s="11">
        <v>4153314.77</v>
      </c>
      <c r="F173" s="11">
        <v>2435254.34</v>
      </c>
      <c r="G173" s="11">
        <v>49915.16</v>
      </c>
      <c r="H173" s="11"/>
      <c r="I173" s="11">
        <v>507724.74</v>
      </c>
      <c r="J173" s="11">
        <v>25896</v>
      </c>
      <c r="K173" s="11">
        <v>654783.85</v>
      </c>
      <c r="L173" s="11">
        <f t="shared" si="11"/>
        <v>44978344.879999995</v>
      </c>
    </row>
    <row r="174" spans="1:12" x14ac:dyDescent="0.35">
      <c r="A174" s="42">
        <v>45434</v>
      </c>
      <c r="B174" s="11">
        <v>1820568.82</v>
      </c>
      <c r="C174" s="11">
        <v>26654113.460000001</v>
      </c>
      <c r="D174" s="11">
        <v>6891367.04</v>
      </c>
      <c r="E174" s="11">
        <v>4815124.3099999996</v>
      </c>
      <c r="F174" s="11">
        <v>2274189.71</v>
      </c>
      <c r="G174" s="11">
        <v>46267.23</v>
      </c>
      <c r="H174" s="11"/>
      <c r="I174" s="11">
        <v>508173.39</v>
      </c>
      <c r="J174" s="11">
        <v>41939</v>
      </c>
      <c r="K174" s="11">
        <v>736376.84</v>
      </c>
      <c r="L174" s="11">
        <f t="shared" si="11"/>
        <v>43788119.800000004</v>
      </c>
    </row>
    <row r="175" spans="1:12" x14ac:dyDescent="0.35">
      <c r="A175" s="7">
        <v>45465</v>
      </c>
      <c r="B175" s="11">
        <v>1689699.19</v>
      </c>
      <c r="C175" s="11">
        <v>28035247.120000001</v>
      </c>
      <c r="D175" s="11">
        <v>7931256.5099999998</v>
      </c>
      <c r="E175" s="11">
        <v>4854536.88</v>
      </c>
      <c r="F175" s="11">
        <v>2339623.63</v>
      </c>
      <c r="G175" s="11">
        <v>18848.93</v>
      </c>
      <c r="H175" s="11">
        <v>457</v>
      </c>
      <c r="I175" s="11">
        <v>679719.5</v>
      </c>
      <c r="J175" s="11">
        <v>122293.75</v>
      </c>
      <c r="K175" s="11">
        <v>1091744.24</v>
      </c>
      <c r="L175" s="11">
        <f t="shared" si="11"/>
        <v>46763426.750000007</v>
      </c>
    </row>
    <row r="176" spans="1:12" x14ac:dyDescent="0.35">
      <c r="A176" s="42">
        <v>45495</v>
      </c>
      <c r="B176" s="11">
        <v>1503612.18</v>
      </c>
      <c r="C176" s="11">
        <v>25380174.34</v>
      </c>
      <c r="D176" s="11">
        <v>7751655.8200000003</v>
      </c>
      <c r="E176" s="11">
        <v>5899774.2800000003</v>
      </c>
      <c r="F176" s="11">
        <v>2346528.2999999998</v>
      </c>
      <c r="G176" s="11">
        <v>24291</v>
      </c>
      <c r="H176" s="11">
        <v>30226.87</v>
      </c>
      <c r="I176" s="11">
        <v>565156.66</v>
      </c>
      <c r="J176" s="11">
        <v>13147</v>
      </c>
      <c r="K176" s="11">
        <v>779839.94</v>
      </c>
      <c r="L176" s="11">
        <f t="shared" si="11"/>
        <v>44294406.389999993</v>
      </c>
    </row>
    <row r="177" spans="1:12" x14ac:dyDescent="0.35">
      <c r="A177" s="7">
        <v>45526</v>
      </c>
      <c r="B177" s="100">
        <v>1746080.85</v>
      </c>
      <c r="C177" s="100">
        <v>24840244.609999999</v>
      </c>
      <c r="D177" s="100">
        <v>7281787.3499999996</v>
      </c>
      <c r="E177" s="100">
        <v>4596436.3600000003</v>
      </c>
      <c r="F177" s="100">
        <v>2706901.81</v>
      </c>
      <c r="G177" s="100">
        <v>24745.9</v>
      </c>
      <c r="H177" s="100">
        <v>6297</v>
      </c>
      <c r="I177" s="100">
        <v>627271.77</v>
      </c>
      <c r="J177" s="100">
        <v>48083.22</v>
      </c>
      <c r="K177" s="100">
        <v>950670.44</v>
      </c>
      <c r="L177" s="11">
        <f t="shared" si="11"/>
        <v>42828519.310000002</v>
      </c>
    </row>
    <row r="178" spans="1:12" x14ac:dyDescent="0.35">
      <c r="A178" s="42">
        <v>45557</v>
      </c>
      <c r="B178" s="100">
        <v>1859629.61</v>
      </c>
      <c r="C178" s="100">
        <v>24417983.710000001</v>
      </c>
      <c r="D178" s="100">
        <v>7347675.5199999996</v>
      </c>
      <c r="E178" s="100">
        <v>5248741.9800000004</v>
      </c>
      <c r="F178" s="100">
        <v>1911725.64</v>
      </c>
      <c r="G178" s="100">
        <v>60585.74</v>
      </c>
      <c r="H178" s="100">
        <v>203</v>
      </c>
      <c r="I178" s="100">
        <v>752136.23</v>
      </c>
      <c r="J178" s="100">
        <v>116425.89</v>
      </c>
      <c r="K178" s="100">
        <v>655390.19999999995</v>
      </c>
      <c r="L178" s="11">
        <f t="shared" si="11"/>
        <v>42370497.520000011</v>
      </c>
    </row>
    <row r="179" spans="1:12" x14ac:dyDescent="0.35">
      <c r="A179" s="7">
        <v>45587</v>
      </c>
      <c r="B179" s="11">
        <v>2813745.58</v>
      </c>
      <c r="C179" s="111">
        <v>25435800.73</v>
      </c>
      <c r="D179" s="37">
        <v>8767841.1300000008</v>
      </c>
      <c r="E179" s="37">
        <v>6669719.0099999998</v>
      </c>
      <c r="F179" s="37">
        <v>1878379.09</v>
      </c>
      <c r="G179" s="37">
        <v>15068.98</v>
      </c>
      <c r="H179" s="37">
        <v>3870</v>
      </c>
      <c r="I179" s="37">
        <v>922821.6</v>
      </c>
      <c r="J179" s="37">
        <v>29371</v>
      </c>
      <c r="K179" s="37">
        <v>1312338.5</v>
      </c>
      <c r="L179" s="11">
        <f t="shared" si="11"/>
        <v>47848955.620000005</v>
      </c>
    </row>
    <row r="180" spans="1:12" x14ac:dyDescent="0.35">
      <c r="A180" s="42">
        <v>45618</v>
      </c>
      <c r="B180" s="100">
        <v>1540237.87</v>
      </c>
      <c r="C180" s="100">
        <v>20952304.59</v>
      </c>
      <c r="D180" s="100">
        <v>6042795.5999999996</v>
      </c>
      <c r="E180" s="100">
        <v>5566911.04</v>
      </c>
      <c r="F180" s="100">
        <v>1540372.39</v>
      </c>
      <c r="G180" s="100">
        <v>30536.36</v>
      </c>
      <c r="H180" s="100">
        <v>224</v>
      </c>
      <c r="I180" s="100">
        <v>553048.77</v>
      </c>
      <c r="J180" s="100">
        <v>75147.37</v>
      </c>
      <c r="K180" s="122">
        <v>665022.35</v>
      </c>
      <c r="L180" s="11">
        <f t="shared" si="11"/>
        <v>36966600.340000004</v>
      </c>
    </row>
    <row r="181" spans="1:12" ht="15" thickBot="1" x14ac:dyDescent="0.4">
      <c r="A181" s="15">
        <v>45648</v>
      </c>
      <c r="B181" s="54">
        <v>2129988.13</v>
      </c>
      <c r="C181" s="54">
        <v>23327710.440000001</v>
      </c>
      <c r="D181" s="54">
        <v>6291529.5499999998</v>
      </c>
      <c r="E181" s="54">
        <v>8074492.6900000004</v>
      </c>
      <c r="F181" s="54">
        <v>1638577.19</v>
      </c>
      <c r="G181" s="54">
        <v>201495.87</v>
      </c>
      <c r="H181" s="54">
        <v>0</v>
      </c>
      <c r="I181" s="54">
        <v>652610.34</v>
      </c>
      <c r="J181" s="54">
        <v>104088.12</v>
      </c>
      <c r="K181" s="54">
        <v>927321.87</v>
      </c>
      <c r="L181" s="54">
        <v>43347814.199999996</v>
      </c>
    </row>
    <row r="182" spans="1:12" x14ac:dyDescent="0.35">
      <c r="A182" s="16"/>
      <c r="B182" s="66"/>
      <c r="C182" s="66"/>
      <c r="D182" s="66"/>
      <c r="E182" s="66"/>
      <c r="F182" s="66"/>
      <c r="G182" s="66"/>
      <c r="H182" s="66"/>
      <c r="I182" s="66"/>
      <c r="J182" s="66"/>
      <c r="K182" s="66"/>
      <c r="L182" s="66"/>
    </row>
    <row r="183" spans="1:12" ht="15" thickBot="1" x14ac:dyDescent="0.4">
      <c r="A183" s="16"/>
      <c r="B183" s="12"/>
      <c r="C183" s="12"/>
      <c r="D183" s="12"/>
      <c r="E183" s="12"/>
      <c r="F183" s="12"/>
      <c r="G183" s="12"/>
    </row>
    <row r="184" spans="1:12" x14ac:dyDescent="0.35">
      <c r="A184" s="1" t="s">
        <v>9</v>
      </c>
      <c r="B184" s="2" t="s">
        <v>271</v>
      </c>
      <c r="C184" s="2" t="s">
        <v>272</v>
      </c>
      <c r="D184" s="76" t="s">
        <v>273</v>
      </c>
      <c r="E184" s="2" t="s">
        <v>274</v>
      </c>
      <c r="F184" s="76" t="s">
        <v>275</v>
      </c>
      <c r="G184" s="2" t="s">
        <v>276</v>
      </c>
      <c r="H184" s="76" t="s">
        <v>277</v>
      </c>
      <c r="I184" s="2" t="s">
        <v>278</v>
      </c>
      <c r="J184" s="76" t="s">
        <v>279</v>
      </c>
      <c r="K184" s="2" t="s">
        <v>280</v>
      </c>
      <c r="L184" s="2" t="s">
        <v>281</v>
      </c>
    </row>
    <row r="185" spans="1:12" x14ac:dyDescent="0.35">
      <c r="A185" s="18">
        <v>2010</v>
      </c>
      <c r="B185" s="11">
        <f t="shared" ref="B185:L185" si="12">SUM(B2:B13)</f>
        <v>8110038</v>
      </c>
      <c r="C185" s="11">
        <f t="shared" si="12"/>
        <v>199882081</v>
      </c>
      <c r="D185" s="77">
        <f t="shared" si="12"/>
        <v>71301929</v>
      </c>
      <c r="E185" s="11">
        <f t="shared" si="12"/>
        <v>76125907</v>
      </c>
      <c r="F185" s="77">
        <f t="shared" si="12"/>
        <v>12506977</v>
      </c>
      <c r="G185" s="11">
        <f t="shared" si="12"/>
        <v>107194</v>
      </c>
      <c r="H185" s="77">
        <f t="shared" si="12"/>
        <v>3412</v>
      </c>
      <c r="I185" s="11">
        <f t="shared" si="12"/>
        <v>111105</v>
      </c>
      <c r="J185" s="77">
        <f t="shared" si="12"/>
        <v>0</v>
      </c>
      <c r="K185" s="11">
        <f t="shared" si="12"/>
        <v>19341411</v>
      </c>
      <c r="L185" s="11">
        <f t="shared" si="12"/>
        <v>387490054</v>
      </c>
    </row>
    <row r="186" spans="1:12" x14ac:dyDescent="0.35">
      <c r="A186" s="18">
        <v>2011</v>
      </c>
      <c r="B186" s="11">
        <f t="shared" ref="B186:B196" ca="1" si="13">SUM(OFFSET($B$2,(12*(ROW(B2)-1)),0,12,1))</f>
        <v>10351149</v>
      </c>
      <c r="C186" s="11">
        <f t="shared" ref="C186:C196" ca="1" si="14">SUM(OFFSET($C$2,(12*(ROW(C2)-1)),0,12,1))</f>
        <v>213948939</v>
      </c>
      <c r="D186" s="77">
        <f t="shared" ref="D186:D196" ca="1" si="15">SUM(OFFSET($D$2,(12*(ROW(D2)-1)),0,12,1))</f>
        <v>72210301</v>
      </c>
      <c r="E186" s="11">
        <f t="shared" ref="E186:E196" ca="1" si="16">SUM(OFFSET($E$2,(12*(ROW(E2)-1)),0,12,1))</f>
        <v>93183468</v>
      </c>
      <c r="F186" s="77">
        <f t="shared" ref="F186:F196" ca="1" si="17">SUM(OFFSET($F$2,(12*(ROW(F2)-1)),0,12,1))</f>
        <v>13190488</v>
      </c>
      <c r="G186" s="11">
        <f t="shared" ref="G186:G196" ca="1" si="18">SUM(OFFSET($G$2,(12*(ROW(G2)-1)),0,12,1))</f>
        <v>121181</v>
      </c>
      <c r="H186" s="77">
        <f t="shared" ref="H186:H196" ca="1" si="19">SUM(OFFSET($H$2,(12*(ROW(H2)-1)),0,12,1))</f>
        <v>285635</v>
      </c>
      <c r="I186" s="11">
        <f t="shared" ref="I186:I196" ca="1" si="20">SUM(OFFSET($I$2,(12*(ROW(I2)-1)),0,12,1))</f>
        <v>505989</v>
      </c>
      <c r="J186" s="77">
        <f t="shared" ref="J186:J196" ca="1" si="21">SUM(OFFSET($J$2,(12*(ROW(J2)-1)),0,12,1))</f>
        <v>0</v>
      </c>
      <c r="K186" s="11">
        <f t="shared" ref="K186:K196" ca="1" si="22">SUM(OFFSET($K$2,(12*(ROW(K2)-1)),0,12,1))</f>
        <v>24673608</v>
      </c>
      <c r="L186" s="11">
        <f t="shared" ref="L186:L196" ca="1" si="23">SUM(OFFSET($L$2,(12*(ROW(L2)-1)),0,12,1))</f>
        <v>428470758</v>
      </c>
    </row>
    <row r="187" spans="1:12" x14ac:dyDescent="0.35">
      <c r="A187" s="18">
        <v>2012</v>
      </c>
      <c r="B187" s="11">
        <f t="shared" ca="1" si="13"/>
        <v>12630321</v>
      </c>
      <c r="C187" s="11">
        <f t="shared" ca="1" si="14"/>
        <v>218527177</v>
      </c>
      <c r="D187" s="77">
        <f t="shared" ca="1" si="15"/>
        <v>62608198</v>
      </c>
      <c r="E187" s="11">
        <f t="shared" ca="1" si="16"/>
        <v>128345576</v>
      </c>
      <c r="F187" s="77">
        <f t="shared" ca="1" si="17"/>
        <v>11784244</v>
      </c>
      <c r="G187" s="11">
        <f t="shared" ca="1" si="18"/>
        <v>104435</v>
      </c>
      <c r="H187" s="77">
        <f t="shared" ca="1" si="19"/>
        <v>660732</v>
      </c>
      <c r="I187" s="11">
        <f t="shared" ca="1" si="20"/>
        <v>827427</v>
      </c>
      <c r="J187" s="77">
        <f t="shared" ca="1" si="21"/>
        <v>0</v>
      </c>
      <c r="K187" s="11">
        <f t="shared" ca="1" si="22"/>
        <v>22036599</v>
      </c>
      <c r="L187" s="11">
        <f t="shared" ca="1" si="23"/>
        <v>457524709</v>
      </c>
    </row>
    <row r="188" spans="1:12" x14ac:dyDescent="0.35">
      <c r="A188" s="18">
        <v>2013</v>
      </c>
      <c r="B188" s="11">
        <f t="shared" ca="1" si="13"/>
        <v>10678808</v>
      </c>
      <c r="C188" s="11">
        <f t="shared" ca="1" si="14"/>
        <v>233091451</v>
      </c>
      <c r="D188" s="77">
        <f t="shared" ca="1" si="15"/>
        <v>65686630</v>
      </c>
      <c r="E188" s="11">
        <f t="shared" ca="1" si="16"/>
        <v>115782514</v>
      </c>
      <c r="F188" s="77">
        <f t="shared" ca="1" si="17"/>
        <v>13802895</v>
      </c>
      <c r="G188" s="11">
        <f t="shared" ca="1" si="18"/>
        <v>88820</v>
      </c>
      <c r="H188" s="77">
        <f t="shared" ca="1" si="19"/>
        <v>815163</v>
      </c>
      <c r="I188" s="11">
        <f t="shared" ca="1" si="20"/>
        <v>527965</v>
      </c>
      <c r="J188" s="77">
        <f t="shared" ca="1" si="21"/>
        <v>1199075</v>
      </c>
      <c r="K188" s="11">
        <f t="shared" ca="1" si="22"/>
        <v>26315439</v>
      </c>
      <c r="L188" s="11">
        <f t="shared" ca="1" si="23"/>
        <v>467988760</v>
      </c>
    </row>
    <row r="189" spans="1:12" x14ac:dyDescent="0.35">
      <c r="A189" s="18">
        <v>2014</v>
      </c>
      <c r="B189" s="11">
        <f t="shared" ca="1" si="13"/>
        <v>20307357</v>
      </c>
      <c r="C189" s="11">
        <f t="shared" ca="1" si="14"/>
        <v>225506488</v>
      </c>
      <c r="D189" s="77">
        <f t="shared" ca="1" si="15"/>
        <v>70978174</v>
      </c>
      <c r="E189" s="11">
        <f t="shared" ca="1" si="16"/>
        <v>177554910</v>
      </c>
      <c r="F189" s="77">
        <f t="shared" ca="1" si="17"/>
        <v>15669262</v>
      </c>
      <c r="G189" s="11">
        <f t="shared" ca="1" si="18"/>
        <v>305493</v>
      </c>
      <c r="H189" s="77">
        <f t="shared" ca="1" si="19"/>
        <v>1233195</v>
      </c>
      <c r="I189" s="11">
        <f t="shared" ca="1" si="20"/>
        <v>311323</v>
      </c>
      <c r="J189" s="77">
        <f t="shared" ca="1" si="21"/>
        <v>20404745</v>
      </c>
      <c r="K189" s="11">
        <f t="shared" ca="1" si="22"/>
        <v>30169578</v>
      </c>
      <c r="L189" s="11">
        <f t="shared" ca="1" si="23"/>
        <v>562440525</v>
      </c>
    </row>
    <row r="190" spans="1:12" x14ac:dyDescent="0.35">
      <c r="A190" s="18">
        <v>2015</v>
      </c>
      <c r="B190" s="37">
        <f t="shared" ca="1" si="13"/>
        <v>18185705.66</v>
      </c>
      <c r="C190" s="11">
        <f t="shared" ca="1" si="14"/>
        <v>222325697.15000001</v>
      </c>
      <c r="D190" s="113">
        <f t="shared" ca="1" si="15"/>
        <v>69863867.489999995</v>
      </c>
      <c r="E190" s="11">
        <f t="shared" ca="1" si="16"/>
        <v>132709209.90000001</v>
      </c>
      <c r="F190" s="113">
        <f t="shared" ca="1" si="17"/>
        <v>13798051.32</v>
      </c>
      <c r="G190" s="11">
        <f t="shared" ca="1" si="18"/>
        <v>341147.59</v>
      </c>
      <c r="H190" s="113">
        <f t="shared" ca="1" si="19"/>
        <v>1526787.5</v>
      </c>
      <c r="I190" s="11">
        <f t="shared" ca="1" si="20"/>
        <v>473539.01</v>
      </c>
      <c r="J190" s="113">
        <f t="shared" ca="1" si="21"/>
        <v>21010344.5</v>
      </c>
      <c r="K190" s="11">
        <f t="shared" ca="1" si="22"/>
        <v>30114918.91</v>
      </c>
      <c r="L190" s="11">
        <f t="shared" ca="1" si="23"/>
        <v>510349269.02999997</v>
      </c>
    </row>
    <row r="191" spans="1:12" x14ac:dyDescent="0.35">
      <c r="A191" s="18">
        <v>2016</v>
      </c>
      <c r="B191" s="11">
        <f t="shared" ca="1" si="13"/>
        <v>16127576.15</v>
      </c>
      <c r="C191" s="11">
        <f t="shared" ca="1" si="14"/>
        <v>221332230.96000001</v>
      </c>
      <c r="D191" s="77">
        <f t="shared" ca="1" si="15"/>
        <v>71109365.909999996</v>
      </c>
      <c r="E191" s="11">
        <f t="shared" ca="1" si="16"/>
        <v>59605786.339999996</v>
      </c>
      <c r="F191" s="77">
        <f t="shared" ca="1" si="17"/>
        <v>16676122.609999999</v>
      </c>
      <c r="G191" s="11">
        <f t="shared" ca="1" si="18"/>
        <v>491859.69999999995</v>
      </c>
      <c r="H191" s="77">
        <f t="shared" ca="1" si="19"/>
        <v>1573754.51</v>
      </c>
      <c r="I191" s="11">
        <f t="shared" ca="1" si="20"/>
        <v>1324391.8799999999</v>
      </c>
      <c r="J191" s="77">
        <f t="shared" ca="1" si="21"/>
        <v>22632700</v>
      </c>
      <c r="K191" s="11">
        <f t="shared" ca="1" si="22"/>
        <v>18787193.900000002</v>
      </c>
      <c r="L191" s="11">
        <f t="shared" ca="1" si="23"/>
        <v>429660981.95999998</v>
      </c>
    </row>
    <row r="192" spans="1:12" x14ac:dyDescent="0.35">
      <c r="A192" s="18">
        <v>2017</v>
      </c>
      <c r="B192" s="85">
        <f t="shared" ca="1" si="13"/>
        <v>21017189.539999999</v>
      </c>
      <c r="C192" s="11">
        <f t="shared" ca="1" si="14"/>
        <v>243679931.44</v>
      </c>
      <c r="D192" s="66">
        <f t="shared" ca="1" si="15"/>
        <v>64093199.050000004</v>
      </c>
      <c r="E192" s="11">
        <f t="shared" ca="1" si="16"/>
        <v>56877137.829999998</v>
      </c>
      <c r="F192" s="66">
        <f t="shared" ca="1" si="17"/>
        <v>18053488.379999999</v>
      </c>
      <c r="G192" s="11">
        <f t="shared" ca="1" si="18"/>
        <v>417155.49</v>
      </c>
      <c r="H192" s="66">
        <f t="shared" ca="1" si="19"/>
        <v>142392.56</v>
      </c>
      <c r="I192" s="11">
        <f t="shared" ca="1" si="20"/>
        <v>1734524.15</v>
      </c>
      <c r="J192" s="66">
        <f t="shared" ca="1" si="21"/>
        <v>0</v>
      </c>
      <c r="K192" s="11">
        <f t="shared" ca="1" si="22"/>
        <v>23241291.039999999</v>
      </c>
      <c r="L192" s="11">
        <f t="shared" ca="1" si="23"/>
        <v>429256309.48000002</v>
      </c>
    </row>
    <row r="193" spans="1:12" x14ac:dyDescent="0.35">
      <c r="A193" s="18">
        <v>2018</v>
      </c>
      <c r="B193" s="11">
        <f t="shared" ca="1" si="13"/>
        <v>18348739.029999997</v>
      </c>
      <c r="C193" s="11">
        <f t="shared" ca="1" si="14"/>
        <v>241649328.19999999</v>
      </c>
      <c r="D193" s="77">
        <f t="shared" ca="1" si="15"/>
        <v>69513844.299999997</v>
      </c>
      <c r="E193" s="11">
        <f t="shared" ca="1" si="16"/>
        <v>61908011.200000003</v>
      </c>
      <c r="F193" s="77">
        <f t="shared" ca="1" si="17"/>
        <v>15646541.529999999</v>
      </c>
      <c r="G193" s="11">
        <f t="shared" ca="1" si="18"/>
        <v>317175.95999999996</v>
      </c>
      <c r="H193" s="77">
        <f t="shared" ca="1" si="19"/>
        <v>92914.83</v>
      </c>
      <c r="I193" s="11">
        <f t="shared" ca="1" si="20"/>
        <v>2260762.89</v>
      </c>
      <c r="J193" s="77">
        <f t="shared" ca="1" si="21"/>
        <v>734829</v>
      </c>
      <c r="K193" s="11">
        <f t="shared" ca="1" si="22"/>
        <v>17244471.840000004</v>
      </c>
      <c r="L193" s="11">
        <f t="shared" ca="1" si="23"/>
        <v>427716618.77999997</v>
      </c>
    </row>
    <row r="194" spans="1:12" x14ac:dyDescent="0.35">
      <c r="A194" s="18">
        <v>2019</v>
      </c>
      <c r="B194" s="11">
        <f t="shared" ca="1" si="13"/>
        <v>17126849.050000001</v>
      </c>
      <c r="C194" s="11">
        <f t="shared" ca="1" si="14"/>
        <v>256448304.06</v>
      </c>
      <c r="D194" s="11">
        <f t="shared" ca="1" si="15"/>
        <v>54209780.670000002</v>
      </c>
      <c r="E194" s="11">
        <f t="shared" ca="1" si="16"/>
        <v>71086492.840000004</v>
      </c>
      <c r="F194" s="11">
        <f t="shared" ca="1" si="17"/>
        <v>16201780.970000001</v>
      </c>
      <c r="G194" s="11">
        <f t="shared" ca="1" si="18"/>
        <v>395030.09999999992</v>
      </c>
      <c r="H194" s="11">
        <f t="shared" ca="1" si="19"/>
        <v>148871.98000000001</v>
      </c>
      <c r="I194" s="11">
        <f t="shared" ca="1" si="20"/>
        <v>3747603.15</v>
      </c>
      <c r="J194" s="11">
        <f t="shared" ca="1" si="21"/>
        <v>832025</v>
      </c>
      <c r="K194" s="11">
        <f t="shared" ca="1" si="22"/>
        <v>8919143.7799999993</v>
      </c>
      <c r="L194" s="11">
        <f t="shared" ca="1" si="23"/>
        <v>429115881.5999999</v>
      </c>
    </row>
    <row r="195" spans="1:12" x14ac:dyDescent="0.35">
      <c r="A195" s="36">
        <v>2020</v>
      </c>
      <c r="B195" s="37">
        <f t="shared" ca="1" si="13"/>
        <v>15041241.099999998</v>
      </c>
      <c r="C195" s="37">
        <f t="shared" ca="1" si="14"/>
        <v>291198500.93999994</v>
      </c>
      <c r="D195" s="37">
        <f t="shared" ca="1" si="15"/>
        <v>50956941.350000001</v>
      </c>
      <c r="E195" s="37">
        <f t="shared" ca="1" si="16"/>
        <v>55280828.939999998</v>
      </c>
      <c r="F195" s="37">
        <f t="shared" ca="1" si="17"/>
        <v>16811287.949999999</v>
      </c>
      <c r="G195" s="37">
        <f t="shared" ca="1" si="18"/>
        <v>320047.89</v>
      </c>
      <c r="H195" s="37">
        <f t="shared" ca="1" si="19"/>
        <v>79404.930000000008</v>
      </c>
      <c r="I195" s="37">
        <f t="shared" ca="1" si="20"/>
        <v>5220096.4799999995</v>
      </c>
      <c r="J195" s="37">
        <f t="shared" ca="1" si="21"/>
        <v>486104</v>
      </c>
      <c r="K195" s="37">
        <f t="shared" ca="1" si="22"/>
        <v>10649705.369999999</v>
      </c>
      <c r="L195" s="37">
        <f t="shared" ca="1" si="23"/>
        <v>446044158.95000005</v>
      </c>
    </row>
    <row r="196" spans="1:12" x14ac:dyDescent="0.35">
      <c r="A196" s="18">
        <v>2021</v>
      </c>
      <c r="B196" s="11">
        <f t="shared" ca="1" si="13"/>
        <v>17767239.41</v>
      </c>
      <c r="C196" s="11">
        <f t="shared" ca="1" si="14"/>
        <v>344276553.56</v>
      </c>
      <c r="D196" s="11">
        <f t="shared" ca="1" si="15"/>
        <v>66816676.039999999</v>
      </c>
      <c r="E196" s="11">
        <f t="shared" ca="1" si="16"/>
        <v>46711496.609999999</v>
      </c>
      <c r="F196" s="11">
        <f t="shared" ca="1" si="17"/>
        <v>24107298.550000001</v>
      </c>
      <c r="G196" s="11">
        <f t="shared" ca="1" si="18"/>
        <v>257837.04</v>
      </c>
      <c r="H196" s="11">
        <f t="shared" ca="1" si="19"/>
        <v>699219.96</v>
      </c>
      <c r="I196" s="11">
        <f t="shared" ca="1" si="20"/>
        <v>6630589.4099999992</v>
      </c>
      <c r="J196" s="11">
        <f t="shared" ca="1" si="21"/>
        <v>1722909.6300000001</v>
      </c>
      <c r="K196" s="11">
        <f t="shared" ca="1" si="22"/>
        <v>11488893.939999999</v>
      </c>
      <c r="L196" s="11">
        <f t="shared" ca="1" si="23"/>
        <v>520478714.15000004</v>
      </c>
    </row>
    <row r="197" spans="1:12" x14ac:dyDescent="0.35">
      <c r="A197" s="18">
        <v>2022</v>
      </c>
      <c r="B197" s="11">
        <f t="shared" ref="B197:L197" si="24">SUM(B146:B157)</f>
        <v>24347598.73</v>
      </c>
      <c r="C197" s="11">
        <f t="shared" si="24"/>
        <v>343756489.37</v>
      </c>
      <c r="D197" s="11">
        <f t="shared" si="24"/>
        <v>57751820.009999998</v>
      </c>
      <c r="E197" s="11">
        <f t="shared" si="24"/>
        <v>57086113.490000002</v>
      </c>
      <c r="F197" s="11">
        <f t="shared" si="24"/>
        <v>29839550.309999999</v>
      </c>
      <c r="G197" s="11">
        <f t="shared" si="24"/>
        <v>457798.39999999997</v>
      </c>
      <c r="H197" s="11">
        <f t="shared" si="24"/>
        <v>244448.66</v>
      </c>
      <c r="I197" s="11">
        <f t="shared" si="24"/>
        <v>8772452.7300000004</v>
      </c>
      <c r="J197" s="11">
        <f t="shared" si="24"/>
        <v>1087654.3700000001</v>
      </c>
      <c r="K197" s="11">
        <f t="shared" si="24"/>
        <v>13491921.710000001</v>
      </c>
      <c r="L197" s="11">
        <f t="shared" si="24"/>
        <v>536835847.78000003</v>
      </c>
    </row>
    <row r="198" spans="1:12" x14ac:dyDescent="0.35">
      <c r="A198" s="18">
        <v>2023</v>
      </c>
      <c r="B198" s="11">
        <f t="shared" ref="B198:L198" si="25">SUM(B158:B169)</f>
        <v>27683658.41</v>
      </c>
      <c r="C198" s="11">
        <f t="shared" si="25"/>
        <v>311203369.49000001</v>
      </c>
      <c r="D198" s="11">
        <f t="shared" si="25"/>
        <v>70815391.709999993</v>
      </c>
      <c r="E198" s="11">
        <f t="shared" si="25"/>
        <v>60509023.20000001</v>
      </c>
      <c r="F198" s="11">
        <f t="shared" si="25"/>
        <v>26421533.300000001</v>
      </c>
      <c r="G198" s="11">
        <f t="shared" si="25"/>
        <v>741006.65000000014</v>
      </c>
      <c r="H198" s="11">
        <f t="shared" si="25"/>
        <v>-194534.32</v>
      </c>
      <c r="I198" s="11">
        <f t="shared" si="25"/>
        <v>9990272.209999999</v>
      </c>
      <c r="J198" s="11">
        <f t="shared" si="25"/>
        <v>801455.17999999993</v>
      </c>
      <c r="K198" s="11">
        <f t="shared" si="25"/>
        <v>10099553.399999999</v>
      </c>
      <c r="L198" s="11">
        <f t="shared" si="25"/>
        <v>518070729.23000002</v>
      </c>
    </row>
    <row r="199" spans="1:12" ht="15" thickBot="1" x14ac:dyDescent="0.4">
      <c r="A199" s="189" t="s">
        <v>12</v>
      </c>
      <c r="B199" s="46">
        <f>SUM(B170:B181)</f>
        <v>20896475.189999998</v>
      </c>
      <c r="C199" s="46">
        <f>SUM(C170:C181)</f>
        <v>301943050.71999997</v>
      </c>
      <c r="D199" s="46">
        <f t="shared" ref="D199:L199" si="26">SUM(D170:D181)</f>
        <v>84726870.569999993</v>
      </c>
      <c r="E199" s="46">
        <f t="shared" si="26"/>
        <v>61868545.039999992</v>
      </c>
      <c r="F199" s="46">
        <f t="shared" si="26"/>
        <v>23721870.129999999</v>
      </c>
      <c r="G199" s="46">
        <f t="shared" si="26"/>
        <v>646205.37</v>
      </c>
      <c r="H199" s="46">
        <f t="shared" si="26"/>
        <v>50396.34</v>
      </c>
      <c r="I199" s="46">
        <f t="shared" si="26"/>
        <v>7594521.2299999986</v>
      </c>
      <c r="J199" s="46">
        <f t="shared" si="26"/>
        <v>772065.34</v>
      </c>
      <c r="K199" s="46">
        <f t="shared" si="26"/>
        <v>10352823.52</v>
      </c>
      <c r="L199" s="46">
        <f t="shared" si="26"/>
        <v>512572823.44999999</v>
      </c>
    </row>
    <row r="200" spans="1:12" ht="15" thickBot="1" x14ac:dyDescent="0.4">
      <c r="A200" s="16"/>
      <c r="B200" s="12"/>
      <c r="C200" s="12"/>
      <c r="D200" s="12"/>
      <c r="E200" s="12"/>
      <c r="F200" s="12"/>
      <c r="G200" s="12"/>
    </row>
    <row r="201" spans="1:12" ht="15" thickBot="1" x14ac:dyDescent="0.4">
      <c r="A201" s="87"/>
      <c r="B201" s="21" t="s">
        <v>271</v>
      </c>
      <c r="C201" s="88" t="s">
        <v>272</v>
      </c>
      <c r="D201" s="21" t="s">
        <v>273</v>
      </c>
      <c r="E201" s="88" t="s">
        <v>274</v>
      </c>
      <c r="F201" s="21" t="s">
        <v>275</v>
      </c>
      <c r="G201" s="88" t="s">
        <v>276</v>
      </c>
      <c r="H201" s="21" t="s">
        <v>277</v>
      </c>
      <c r="I201" s="88" t="s">
        <v>278</v>
      </c>
      <c r="J201" s="21" t="s">
        <v>279</v>
      </c>
      <c r="K201" s="88" t="s">
        <v>280</v>
      </c>
      <c r="L201" s="21" t="s">
        <v>281</v>
      </c>
    </row>
    <row r="202" spans="1:12" x14ac:dyDescent="0.35">
      <c r="A202" s="188" t="s">
        <v>11</v>
      </c>
      <c r="B202" s="91">
        <f>SUM(B158:B169)</f>
        <v>27683658.41</v>
      </c>
      <c r="C202" s="91">
        <f>SUM(C158:C169)</f>
        <v>311203369.49000001</v>
      </c>
      <c r="D202" s="91">
        <f t="shared" ref="D202:L202" si="27">SUM(D158:D169)</f>
        <v>70815391.709999993</v>
      </c>
      <c r="E202" s="91">
        <f t="shared" si="27"/>
        <v>60509023.20000001</v>
      </c>
      <c r="F202" s="91">
        <f t="shared" si="27"/>
        <v>26421533.300000001</v>
      </c>
      <c r="G202" s="91">
        <f t="shared" si="27"/>
        <v>741006.65000000014</v>
      </c>
      <c r="H202" s="91">
        <f t="shared" si="27"/>
        <v>-194534.32</v>
      </c>
      <c r="I202" s="91">
        <f t="shared" si="27"/>
        <v>9990272.209999999</v>
      </c>
      <c r="J202" s="91">
        <f t="shared" si="27"/>
        <v>801455.17999999993</v>
      </c>
      <c r="K202" s="91">
        <f t="shared" si="27"/>
        <v>10099553.399999999</v>
      </c>
      <c r="L202" s="91">
        <f t="shared" si="27"/>
        <v>518070729.23000002</v>
      </c>
    </row>
    <row r="203" spans="1:12" x14ac:dyDescent="0.35">
      <c r="A203" s="188" t="s">
        <v>12</v>
      </c>
      <c r="B203" s="91">
        <f>SUM(B170:B181)</f>
        <v>20896475.189999998</v>
      </c>
      <c r="C203" s="91">
        <f>SUM(C170:C181)</f>
        <v>301943050.71999997</v>
      </c>
      <c r="D203" s="91">
        <f t="shared" ref="D203:L203" si="28">SUM(D170:D181)</f>
        <v>84726870.569999993</v>
      </c>
      <c r="E203" s="91">
        <f t="shared" si="28"/>
        <v>61868545.039999992</v>
      </c>
      <c r="F203" s="91">
        <f t="shared" si="28"/>
        <v>23721870.129999999</v>
      </c>
      <c r="G203" s="91">
        <f t="shared" si="28"/>
        <v>646205.37</v>
      </c>
      <c r="H203" s="91">
        <f t="shared" si="28"/>
        <v>50396.34</v>
      </c>
      <c r="I203" s="91">
        <f t="shared" si="28"/>
        <v>7594521.2299999986</v>
      </c>
      <c r="J203" s="91">
        <f t="shared" si="28"/>
        <v>772065.34</v>
      </c>
      <c r="K203" s="91">
        <f t="shared" si="28"/>
        <v>10352823.52</v>
      </c>
      <c r="L203" s="91">
        <f t="shared" si="28"/>
        <v>512572823.44999999</v>
      </c>
    </row>
    <row r="204" spans="1:12" ht="29.5" thickBot="1" x14ac:dyDescent="0.4">
      <c r="A204" s="83" t="s">
        <v>28</v>
      </c>
      <c r="B204" s="92">
        <f>(B203-B202)/B202</f>
        <v>-0.24516930239062296</v>
      </c>
      <c r="C204" s="89">
        <f t="shared" ref="C204:L204" si="29">(C203-C202)/C202</f>
        <v>-2.9756486201212566E-2</v>
      </c>
      <c r="D204" s="92">
        <f t="shared" si="29"/>
        <v>0.19644710738831556</v>
      </c>
      <c r="E204" s="89">
        <f t="shared" si="29"/>
        <v>2.2468084396377777E-2</v>
      </c>
      <c r="F204" s="92">
        <f t="shared" si="29"/>
        <v>-0.10217662765241568</v>
      </c>
      <c r="G204" s="89">
        <f t="shared" si="29"/>
        <v>-0.12793580192566439</v>
      </c>
      <c r="H204" s="92">
        <f t="shared" si="29"/>
        <v>-1.259061434506775</v>
      </c>
      <c r="I204" s="89">
        <f t="shared" si="29"/>
        <v>-0.23980837855468212</v>
      </c>
      <c r="J204" s="92">
        <f t="shared" si="29"/>
        <v>-3.667059710063883E-2</v>
      </c>
      <c r="K204" s="89">
        <f t="shared" si="29"/>
        <v>2.5077358371113825E-2</v>
      </c>
      <c r="L204" s="92">
        <f t="shared" si="29"/>
        <v>-1.0612268691905211E-2</v>
      </c>
    </row>
    <row r="205" spans="1:12" ht="15" thickBot="1" x14ac:dyDescent="0.4">
      <c r="A205" s="16"/>
      <c r="B205" s="12"/>
      <c r="C205" s="12"/>
      <c r="D205" s="12"/>
      <c r="E205" s="12"/>
      <c r="F205" s="12"/>
      <c r="G205" s="12"/>
    </row>
    <row r="206" spans="1:12" ht="15" thickBot="1" x14ac:dyDescent="0.4">
      <c r="A206" s="87"/>
      <c r="B206" s="21" t="s">
        <v>271</v>
      </c>
      <c r="C206" s="22" t="s">
        <v>272</v>
      </c>
      <c r="D206" s="24" t="s">
        <v>273</v>
      </c>
      <c r="E206" s="21" t="s">
        <v>274</v>
      </c>
      <c r="F206" s="21" t="s">
        <v>275</v>
      </c>
      <c r="G206" s="88" t="s">
        <v>276</v>
      </c>
      <c r="H206" s="21" t="s">
        <v>277</v>
      </c>
      <c r="I206" s="88" t="s">
        <v>278</v>
      </c>
      <c r="J206" s="21" t="s">
        <v>279</v>
      </c>
      <c r="K206" s="88" t="s">
        <v>280</v>
      </c>
      <c r="L206" s="21" t="s">
        <v>281</v>
      </c>
    </row>
    <row r="207" spans="1:12" ht="29" x14ac:dyDescent="0.35">
      <c r="A207" s="84" t="s">
        <v>17</v>
      </c>
      <c r="B207" s="91">
        <f>B169</f>
        <v>1661855.56</v>
      </c>
      <c r="C207" s="91">
        <f>C169</f>
        <v>22838809.449999999</v>
      </c>
      <c r="D207" s="91">
        <f t="shared" ref="D207:L207" si="30">D169</f>
        <v>5017957.5199999996</v>
      </c>
      <c r="E207" s="91">
        <f t="shared" si="30"/>
        <v>3991109.32</v>
      </c>
      <c r="F207" s="91">
        <f t="shared" si="30"/>
        <v>1409842.96</v>
      </c>
      <c r="G207" s="91">
        <f t="shared" si="30"/>
        <v>43354.93</v>
      </c>
      <c r="H207" s="91">
        <f t="shared" si="30"/>
        <v>0</v>
      </c>
      <c r="I207" s="91">
        <f t="shared" si="30"/>
        <v>1194277.28</v>
      </c>
      <c r="J207" s="91">
        <f t="shared" si="30"/>
        <v>181051.93</v>
      </c>
      <c r="K207" s="91">
        <f t="shared" si="30"/>
        <v>505248.33</v>
      </c>
      <c r="L207" s="91">
        <f t="shared" si="30"/>
        <v>36843507.279999994</v>
      </c>
    </row>
    <row r="208" spans="1:12" ht="29" x14ac:dyDescent="0.35">
      <c r="A208" s="84" t="s">
        <v>18</v>
      </c>
      <c r="B208" s="91">
        <f>B181</f>
        <v>2129988.13</v>
      </c>
      <c r="C208" s="91">
        <f>C181</f>
        <v>23327710.440000001</v>
      </c>
      <c r="D208" s="91">
        <f t="shared" ref="D208:L208" si="31">D181</f>
        <v>6291529.5499999998</v>
      </c>
      <c r="E208" s="91">
        <f t="shared" si="31"/>
        <v>8074492.6900000004</v>
      </c>
      <c r="F208" s="91">
        <f t="shared" si="31"/>
        <v>1638577.19</v>
      </c>
      <c r="G208" s="91">
        <f t="shared" si="31"/>
        <v>201495.87</v>
      </c>
      <c r="H208" s="91">
        <f t="shared" si="31"/>
        <v>0</v>
      </c>
      <c r="I208" s="91">
        <f t="shared" si="31"/>
        <v>652610.34</v>
      </c>
      <c r="J208" s="91">
        <f t="shared" si="31"/>
        <v>104088.12</v>
      </c>
      <c r="K208" s="91">
        <f t="shared" si="31"/>
        <v>927321.87</v>
      </c>
      <c r="L208" s="91">
        <f t="shared" si="31"/>
        <v>43347814.199999996</v>
      </c>
    </row>
    <row r="209" spans="1:12" ht="29.5" thickBot="1" x14ac:dyDescent="0.4">
      <c r="A209" s="83" t="s">
        <v>28</v>
      </c>
      <c r="B209" s="92">
        <f>(B208-B207)/B207</f>
        <v>0.28169269415929254</v>
      </c>
      <c r="C209" s="89">
        <f>(C208-C207)/C207</f>
        <v>2.1406588249283813E-2</v>
      </c>
      <c r="D209" s="92">
        <f t="shared" ref="D209:L209" si="32">(D208-D207)/D207</f>
        <v>0.25380287197010792</v>
      </c>
      <c r="E209" s="92">
        <f t="shared" si="32"/>
        <v>1.0231199004090423</v>
      </c>
      <c r="F209" s="92">
        <f t="shared" si="32"/>
        <v>0.16224092788320196</v>
      </c>
      <c r="G209" s="89">
        <f t="shared" si="32"/>
        <v>3.6475884057476278</v>
      </c>
      <c r="H209" s="92" t="e">
        <f>(H208-H207)/H207</f>
        <v>#DIV/0!</v>
      </c>
      <c r="I209" s="89">
        <f>(I208-I207)/I207</f>
        <v>-0.45355207628164879</v>
      </c>
      <c r="J209" s="92">
        <f t="shared" ref="J209" si="33">(J208-J207)/J207</f>
        <v>-0.42509245827978748</v>
      </c>
      <c r="K209" s="89">
        <f t="shared" si="32"/>
        <v>0.83537839699539429</v>
      </c>
      <c r="L209" s="92">
        <f t="shared" si="32"/>
        <v>0.17653875540591593</v>
      </c>
    </row>
  </sheetData>
  <pageMargins left="0.7" right="0.7" top="0.75" bottom="0.75" header="0.3" footer="0.3"/>
  <pageSetup orientation="portrait" verticalDpi="0" r:id="rId1"/>
  <ignoredErrors>
    <ignoredError sqref="L2:L101 B185:K185 L103:L104 L106:L110 L113:L145 L146:L157 B197:L197" formulaRange="1"/>
    <ignoredError sqref="J204 H209"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15"/>
  <sheetViews>
    <sheetView workbookViewId="0">
      <pane ySplit="1" topLeftCell="A179" activePane="bottomLeft" state="frozen"/>
      <selection pane="bottomLeft" activeCell="M208" sqref="M208"/>
    </sheetView>
  </sheetViews>
  <sheetFormatPr defaultColWidth="15" defaultRowHeight="14.5" x14ac:dyDescent="0.35"/>
  <cols>
    <col min="1" max="1" width="14.453125" bestFit="1" customWidth="1"/>
    <col min="2" max="2" width="14.54296875" bestFit="1" customWidth="1"/>
    <col min="3" max="3" width="18" bestFit="1" customWidth="1"/>
    <col min="4" max="4" width="16.54296875" bestFit="1" customWidth="1"/>
    <col min="5" max="5" width="12" bestFit="1" customWidth="1"/>
    <col min="6" max="6" width="11.1796875" bestFit="1" customWidth="1"/>
    <col min="7" max="7" width="14" bestFit="1" customWidth="1"/>
    <col min="8" max="8" width="14.54296875" bestFit="1" customWidth="1"/>
    <col min="9" max="9" width="14.1796875" bestFit="1" customWidth="1"/>
    <col min="10" max="10" width="17" bestFit="1" customWidth="1"/>
    <col min="11" max="11" width="12.54296875" bestFit="1" customWidth="1"/>
    <col min="12" max="12" width="15.453125" bestFit="1" customWidth="1"/>
  </cols>
  <sheetData>
    <row r="1" spans="1:12" ht="22.5" customHeight="1" x14ac:dyDescent="0.35">
      <c r="A1" s="32" t="s">
        <v>0</v>
      </c>
      <c r="B1" s="33" t="s">
        <v>282</v>
      </c>
      <c r="C1" s="34" t="s">
        <v>283</v>
      </c>
      <c r="D1" s="35" t="s">
        <v>284</v>
      </c>
      <c r="E1" s="35" t="s">
        <v>285</v>
      </c>
      <c r="F1" s="35" t="s">
        <v>286</v>
      </c>
      <c r="G1" s="35" t="s">
        <v>287</v>
      </c>
      <c r="H1" s="35" t="s">
        <v>288</v>
      </c>
      <c r="I1" s="35" t="s">
        <v>289</v>
      </c>
      <c r="J1" s="35" t="s">
        <v>290</v>
      </c>
      <c r="K1" s="35" t="s">
        <v>291</v>
      </c>
      <c r="L1" s="33" t="s">
        <v>292</v>
      </c>
    </row>
    <row r="2" spans="1:12" x14ac:dyDescent="0.35">
      <c r="A2" s="7">
        <v>40179</v>
      </c>
      <c r="B2" s="11">
        <v>3829906</v>
      </c>
      <c r="C2" s="9">
        <v>8309574</v>
      </c>
      <c r="D2" s="10">
        <v>91228</v>
      </c>
      <c r="E2" s="10">
        <v>647447</v>
      </c>
      <c r="F2" s="10">
        <v>791236</v>
      </c>
      <c r="G2" s="10">
        <v>0</v>
      </c>
      <c r="H2" s="10">
        <v>0</v>
      </c>
      <c r="I2" s="10">
        <v>0</v>
      </c>
      <c r="J2" s="10">
        <v>503314</v>
      </c>
      <c r="K2" s="10">
        <v>3114143</v>
      </c>
      <c r="L2" s="11">
        <f>SUM(B2:K2)</f>
        <v>17286848</v>
      </c>
    </row>
    <row r="3" spans="1:12" x14ac:dyDescent="0.35">
      <c r="A3" s="7">
        <v>40210</v>
      </c>
      <c r="B3" s="11">
        <v>4689034</v>
      </c>
      <c r="C3" s="9">
        <v>8369152</v>
      </c>
      <c r="D3" s="10">
        <v>101897</v>
      </c>
      <c r="E3" s="10">
        <v>613423</v>
      </c>
      <c r="F3" s="10">
        <v>765655</v>
      </c>
      <c r="G3" s="10">
        <v>2514</v>
      </c>
      <c r="H3" s="10">
        <v>0</v>
      </c>
      <c r="I3" s="10">
        <v>0</v>
      </c>
      <c r="J3" s="10">
        <v>1982637</v>
      </c>
      <c r="K3" s="10">
        <v>2921211</v>
      </c>
      <c r="L3" s="11">
        <f t="shared" ref="L3:L66" si="0">SUM(B3:K3)</f>
        <v>19445523</v>
      </c>
    </row>
    <row r="4" spans="1:12" x14ac:dyDescent="0.35">
      <c r="A4" s="7">
        <v>40238</v>
      </c>
      <c r="B4" s="11">
        <v>5064173</v>
      </c>
      <c r="C4" s="9">
        <v>11247042</v>
      </c>
      <c r="D4" s="10">
        <v>120873</v>
      </c>
      <c r="E4" s="10">
        <v>796870</v>
      </c>
      <c r="F4" s="10">
        <v>1090991</v>
      </c>
      <c r="G4" s="10">
        <v>2440</v>
      </c>
      <c r="H4" s="10">
        <v>0</v>
      </c>
      <c r="I4" s="10">
        <v>0</v>
      </c>
      <c r="J4" s="10">
        <v>888928</v>
      </c>
      <c r="K4" s="10">
        <v>3651015</v>
      </c>
      <c r="L4" s="11">
        <f t="shared" si="0"/>
        <v>22862332</v>
      </c>
    </row>
    <row r="5" spans="1:12" x14ac:dyDescent="0.35">
      <c r="A5" s="7">
        <v>40269</v>
      </c>
      <c r="B5" s="11">
        <v>4977416</v>
      </c>
      <c r="C5" s="9">
        <v>9216938</v>
      </c>
      <c r="D5" s="10">
        <v>100813</v>
      </c>
      <c r="E5" s="10">
        <v>781599</v>
      </c>
      <c r="F5" s="10">
        <v>910982</v>
      </c>
      <c r="G5" s="10">
        <v>0</v>
      </c>
      <c r="H5" s="10">
        <v>0</v>
      </c>
      <c r="I5" s="10">
        <v>5970</v>
      </c>
      <c r="J5" s="10">
        <v>1224319</v>
      </c>
      <c r="K5" s="10">
        <v>3329016</v>
      </c>
      <c r="L5" s="11">
        <f t="shared" si="0"/>
        <v>20547053</v>
      </c>
    </row>
    <row r="6" spans="1:12" x14ac:dyDescent="0.35">
      <c r="A6" s="7">
        <v>40299</v>
      </c>
      <c r="B6" s="11">
        <v>5079962</v>
      </c>
      <c r="C6" s="9">
        <v>9365527</v>
      </c>
      <c r="D6" s="10">
        <v>76484</v>
      </c>
      <c r="E6" s="10">
        <v>798061</v>
      </c>
      <c r="F6" s="10">
        <v>854859</v>
      </c>
      <c r="G6" s="10">
        <v>0</v>
      </c>
      <c r="H6" s="10">
        <v>0</v>
      </c>
      <c r="I6" s="10">
        <v>907</v>
      </c>
      <c r="J6" s="10">
        <v>930221</v>
      </c>
      <c r="K6" s="10">
        <v>3375931</v>
      </c>
      <c r="L6" s="11">
        <f t="shared" si="0"/>
        <v>20481952</v>
      </c>
    </row>
    <row r="7" spans="1:12" x14ac:dyDescent="0.35">
      <c r="A7" s="7">
        <v>40330</v>
      </c>
      <c r="B7" s="11">
        <v>4695289</v>
      </c>
      <c r="C7" s="9">
        <v>21135004</v>
      </c>
      <c r="D7" s="10">
        <v>103073</v>
      </c>
      <c r="E7" s="10">
        <v>809152</v>
      </c>
      <c r="F7" s="10">
        <v>882676</v>
      </c>
      <c r="G7" s="10">
        <v>-5746</v>
      </c>
      <c r="H7" s="10">
        <v>0</v>
      </c>
      <c r="I7" s="10">
        <v>0</v>
      </c>
      <c r="J7" s="10">
        <v>1613085</v>
      </c>
      <c r="K7" s="10">
        <v>3721042</v>
      </c>
      <c r="L7" s="11">
        <f t="shared" si="0"/>
        <v>32953575</v>
      </c>
    </row>
    <row r="8" spans="1:12" x14ac:dyDescent="0.35">
      <c r="A8" s="7">
        <v>40360</v>
      </c>
      <c r="B8" s="11">
        <v>4646365</v>
      </c>
      <c r="C8" s="9">
        <v>9270874</v>
      </c>
      <c r="D8" s="10">
        <v>135586</v>
      </c>
      <c r="E8" s="10">
        <v>715396</v>
      </c>
      <c r="F8" s="10">
        <v>846508</v>
      </c>
      <c r="G8" s="10">
        <v>0</v>
      </c>
      <c r="H8" s="10">
        <v>0</v>
      </c>
      <c r="I8" s="10">
        <v>0</v>
      </c>
      <c r="J8" s="10">
        <v>1135103</v>
      </c>
      <c r="K8" s="10">
        <v>3688550</v>
      </c>
      <c r="L8" s="11">
        <f t="shared" si="0"/>
        <v>20438382</v>
      </c>
    </row>
    <row r="9" spans="1:12" x14ac:dyDescent="0.35">
      <c r="A9" s="7">
        <v>40391</v>
      </c>
      <c r="B9" s="11">
        <v>4590597</v>
      </c>
      <c r="C9" s="9">
        <v>9834359</v>
      </c>
      <c r="D9" s="10">
        <v>86596</v>
      </c>
      <c r="E9" s="10">
        <v>668756</v>
      </c>
      <c r="F9" s="10">
        <v>883333</v>
      </c>
      <c r="G9" s="10">
        <v>0</v>
      </c>
      <c r="H9" s="10">
        <v>0</v>
      </c>
      <c r="I9" s="10">
        <v>14862</v>
      </c>
      <c r="J9" s="10">
        <v>1563688</v>
      </c>
      <c r="K9" s="10">
        <v>3310550</v>
      </c>
      <c r="L9" s="11">
        <f t="shared" si="0"/>
        <v>20952741</v>
      </c>
    </row>
    <row r="10" spans="1:12" x14ac:dyDescent="0.35">
      <c r="A10" s="7">
        <v>40422</v>
      </c>
      <c r="B10" s="11">
        <v>4364754</v>
      </c>
      <c r="C10" s="9">
        <v>12367001</v>
      </c>
      <c r="D10" s="10">
        <v>111507</v>
      </c>
      <c r="E10" s="10">
        <v>762454</v>
      </c>
      <c r="F10" s="10">
        <v>941859</v>
      </c>
      <c r="G10" s="10">
        <v>0</v>
      </c>
      <c r="H10" s="10">
        <v>0</v>
      </c>
      <c r="I10" s="10">
        <v>0</v>
      </c>
      <c r="J10" s="10">
        <v>1374180</v>
      </c>
      <c r="K10" s="10">
        <v>3350083</v>
      </c>
      <c r="L10" s="11">
        <f t="shared" si="0"/>
        <v>23271838</v>
      </c>
    </row>
    <row r="11" spans="1:12" x14ac:dyDescent="0.35">
      <c r="A11" s="7">
        <v>40452</v>
      </c>
      <c r="B11" s="11">
        <v>5628334</v>
      </c>
      <c r="C11" s="9">
        <v>9464695</v>
      </c>
      <c r="D11" s="10">
        <v>83746</v>
      </c>
      <c r="E11" s="10">
        <v>725284</v>
      </c>
      <c r="F11" s="10">
        <v>972765</v>
      </c>
      <c r="G11" s="10">
        <v>0</v>
      </c>
      <c r="H11" s="10">
        <v>0</v>
      </c>
      <c r="I11" s="10">
        <v>14884</v>
      </c>
      <c r="J11" s="10">
        <v>1228107</v>
      </c>
      <c r="K11" s="10">
        <v>2616986</v>
      </c>
      <c r="L11" s="11">
        <f t="shared" si="0"/>
        <v>20734801</v>
      </c>
    </row>
    <row r="12" spans="1:12" x14ac:dyDescent="0.35">
      <c r="A12" s="7">
        <v>40483</v>
      </c>
      <c r="B12" s="11">
        <v>4715042</v>
      </c>
      <c r="C12" s="9">
        <v>9122849</v>
      </c>
      <c r="D12" s="10">
        <v>77725</v>
      </c>
      <c r="E12" s="10">
        <v>722308</v>
      </c>
      <c r="F12" s="10">
        <v>917061</v>
      </c>
      <c r="G12" s="10">
        <v>0</v>
      </c>
      <c r="H12" s="10">
        <v>0</v>
      </c>
      <c r="I12" s="10">
        <v>0</v>
      </c>
      <c r="J12" s="10">
        <v>1409138</v>
      </c>
      <c r="K12" s="10">
        <v>2624977</v>
      </c>
      <c r="L12" s="11">
        <f t="shared" si="0"/>
        <v>19589100</v>
      </c>
    </row>
    <row r="13" spans="1:12" x14ac:dyDescent="0.35">
      <c r="A13" s="7">
        <v>40513</v>
      </c>
      <c r="B13" s="11">
        <v>3914156</v>
      </c>
      <c r="C13" s="9">
        <v>13539550</v>
      </c>
      <c r="D13" s="10">
        <v>100798</v>
      </c>
      <c r="E13" s="10">
        <v>813709</v>
      </c>
      <c r="F13" s="10">
        <v>934897</v>
      </c>
      <c r="G13" s="10">
        <v>0</v>
      </c>
      <c r="H13" s="10">
        <v>0</v>
      </c>
      <c r="I13" s="10">
        <v>18189</v>
      </c>
      <c r="J13" s="10">
        <v>1143146</v>
      </c>
      <c r="K13" s="10">
        <v>3780147</v>
      </c>
      <c r="L13" s="11">
        <f t="shared" si="0"/>
        <v>24244592</v>
      </c>
    </row>
    <row r="14" spans="1:12" x14ac:dyDescent="0.35">
      <c r="A14" s="7">
        <v>40544</v>
      </c>
      <c r="B14" s="11">
        <v>4253004</v>
      </c>
      <c r="C14" s="9">
        <v>10205363</v>
      </c>
      <c r="D14" s="10">
        <v>110461</v>
      </c>
      <c r="E14" s="10">
        <v>854341</v>
      </c>
      <c r="F14" s="10">
        <v>842419</v>
      </c>
      <c r="G14" s="10">
        <v>0</v>
      </c>
      <c r="H14" s="10">
        <v>0</v>
      </c>
      <c r="I14" s="10">
        <v>0</v>
      </c>
      <c r="J14" s="10">
        <v>948157</v>
      </c>
      <c r="K14" s="10">
        <v>2607955</v>
      </c>
      <c r="L14" s="11">
        <f t="shared" si="0"/>
        <v>19821700</v>
      </c>
    </row>
    <row r="15" spans="1:12" x14ac:dyDescent="0.35">
      <c r="A15" s="7">
        <v>40575</v>
      </c>
      <c r="B15" s="11">
        <v>4771837</v>
      </c>
      <c r="C15" s="9">
        <v>8860912</v>
      </c>
      <c r="D15" s="10">
        <v>108402</v>
      </c>
      <c r="E15" s="10">
        <v>768833</v>
      </c>
      <c r="F15" s="10">
        <v>701117</v>
      </c>
      <c r="G15" s="10">
        <v>0</v>
      </c>
      <c r="H15" s="10">
        <v>0</v>
      </c>
      <c r="I15" s="10">
        <v>17227</v>
      </c>
      <c r="J15" s="10">
        <v>1216663</v>
      </c>
      <c r="K15" s="10">
        <v>2706929</v>
      </c>
      <c r="L15" s="11">
        <f t="shared" si="0"/>
        <v>19151920</v>
      </c>
    </row>
    <row r="16" spans="1:12" x14ac:dyDescent="0.35">
      <c r="A16" s="7">
        <v>40603</v>
      </c>
      <c r="B16" s="11">
        <v>6224367</v>
      </c>
      <c r="C16" s="9">
        <v>13451164</v>
      </c>
      <c r="D16" s="10">
        <v>120902</v>
      </c>
      <c r="E16" s="10">
        <v>704135</v>
      </c>
      <c r="F16" s="10">
        <v>1045864</v>
      </c>
      <c r="G16" s="10">
        <v>0</v>
      </c>
      <c r="H16" s="10">
        <v>0</v>
      </c>
      <c r="I16" s="10">
        <v>7561</v>
      </c>
      <c r="J16" s="10">
        <v>1444940</v>
      </c>
      <c r="K16" s="10">
        <v>3651267</v>
      </c>
      <c r="L16" s="11">
        <f t="shared" si="0"/>
        <v>26650200</v>
      </c>
    </row>
    <row r="17" spans="1:12" x14ac:dyDescent="0.35">
      <c r="A17" s="7">
        <v>40634</v>
      </c>
      <c r="B17" s="11">
        <v>5768630</v>
      </c>
      <c r="C17" s="9">
        <v>11076046</v>
      </c>
      <c r="D17" s="10">
        <v>82067</v>
      </c>
      <c r="E17" s="10">
        <v>997254</v>
      </c>
      <c r="F17" s="10">
        <v>876892</v>
      </c>
      <c r="G17" s="10">
        <v>0</v>
      </c>
      <c r="H17" s="10">
        <v>0</v>
      </c>
      <c r="I17" s="10">
        <v>0</v>
      </c>
      <c r="J17" s="10">
        <v>950368</v>
      </c>
      <c r="K17" s="10">
        <v>2551585</v>
      </c>
      <c r="L17" s="11">
        <f t="shared" si="0"/>
        <v>22302842</v>
      </c>
    </row>
    <row r="18" spans="1:12" x14ac:dyDescent="0.35">
      <c r="A18" s="7">
        <v>40664</v>
      </c>
      <c r="B18" s="11">
        <v>5787138</v>
      </c>
      <c r="C18" s="9">
        <v>11227173</v>
      </c>
      <c r="D18" s="10">
        <v>67174</v>
      </c>
      <c r="E18" s="10">
        <v>1003303</v>
      </c>
      <c r="F18" s="10">
        <v>907118</v>
      </c>
      <c r="G18" s="10">
        <v>0</v>
      </c>
      <c r="H18" s="10">
        <v>0</v>
      </c>
      <c r="I18" s="10">
        <v>0</v>
      </c>
      <c r="J18" s="10">
        <v>1334960</v>
      </c>
      <c r="K18" s="10">
        <v>2870376</v>
      </c>
      <c r="L18" s="11">
        <f t="shared" si="0"/>
        <v>23197242</v>
      </c>
    </row>
    <row r="19" spans="1:12" x14ac:dyDescent="0.35">
      <c r="A19" s="7">
        <v>40695</v>
      </c>
      <c r="B19" s="11">
        <v>6366581</v>
      </c>
      <c r="C19" s="9">
        <v>12637442</v>
      </c>
      <c r="D19" s="10">
        <v>123755</v>
      </c>
      <c r="E19" s="10">
        <v>854700</v>
      </c>
      <c r="F19" s="10">
        <v>1223389</v>
      </c>
      <c r="G19" s="10">
        <v>0</v>
      </c>
      <c r="H19" s="10">
        <v>0</v>
      </c>
      <c r="I19" s="10">
        <v>6922</v>
      </c>
      <c r="J19" s="10">
        <v>2076777</v>
      </c>
      <c r="K19" s="10">
        <v>5269257</v>
      </c>
      <c r="L19" s="11">
        <f t="shared" si="0"/>
        <v>28558823</v>
      </c>
    </row>
    <row r="20" spans="1:12" x14ac:dyDescent="0.35">
      <c r="A20" s="7">
        <v>40725</v>
      </c>
      <c r="B20" s="11">
        <v>4897958</v>
      </c>
      <c r="C20" s="9">
        <v>9420089</v>
      </c>
      <c r="D20" s="10">
        <v>135586</v>
      </c>
      <c r="E20" s="10">
        <v>715396</v>
      </c>
      <c r="F20" s="10">
        <v>835752</v>
      </c>
      <c r="G20" s="10">
        <v>0</v>
      </c>
      <c r="H20" s="10">
        <v>0</v>
      </c>
      <c r="I20" s="10">
        <v>0</v>
      </c>
      <c r="J20" s="10">
        <v>1135103</v>
      </c>
      <c r="K20" s="10">
        <v>3691649</v>
      </c>
      <c r="L20" s="11">
        <f t="shared" si="0"/>
        <v>20831533</v>
      </c>
    </row>
    <row r="21" spans="1:12" x14ac:dyDescent="0.35">
      <c r="A21" s="7">
        <v>40756</v>
      </c>
      <c r="B21" s="11">
        <v>5192636</v>
      </c>
      <c r="C21" s="9">
        <v>10318256</v>
      </c>
      <c r="D21" s="10">
        <v>89722</v>
      </c>
      <c r="E21" s="10">
        <v>808342</v>
      </c>
      <c r="F21" s="10">
        <v>903094</v>
      </c>
      <c r="G21" s="10">
        <v>0</v>
      </c>
      <c r="H21" s="10">
        <v>0</v>
      </c>
      <c r="I21" s="10">
        <v>21655</v>
      </c>
      <c r="J21" s="10">
        <v>1862719</v>
      </c>
      <c r="K21" s="10">
        <v>3451232</v>
      </c>
      <c r="L21" s="11">
        <f t="shared" si="0"/>
        <v>22647656</v>
      </c>
    </row>
    <row r="22" spans="1:12" x14ac:dyDescent="0.35">
      <c r="A22" s="7">
        <v>40787</v>
      </c>
      <c r="B22" s="11">
        <v>8468571</v>
      </c>
      <c r="C22" s="9">
        <v>12000327</v>
      </c>
      <c r="D22" s="10">
        <v>111500</v>
      </c>
      <c r="E22" s="10">
        <v>737047</v>
      </c>
      <c r="F22" s="10">
        <v>1018284</v>
      </c>
      <c r="G22" s="10">
        <v>0</v>
      </c>
      <c r="H22" s="10">
        <v>0</v>
      </c>
      <c r="I22" s="10">
        <v>9104</v>
      </c>
      <c r="J22" s="10">
        <v>2388696</v>
      </c>
      <c r="K22" s="10">
        <v>3116261</v>
      </c>
      <c r="L22" s="11">
        <f t="shared" si="0"/>
        <v>27849790</v>
      </c>
    </row>
    <row r="23" spans="1:12" x14ac:dyDescent="0.35">
      <c r="A23" s="7">
        <v>40817</v>
      </c>
      <c r="B23" s="11">
        <v>6484816</v>
      </c>
      <c r="C23" s="9">
        <v>17045484</v>
      </c>
      <c r="D23" s="10">
        <v>70503</v>
      </c>
      <c r="E23" s="10">
        <v>773583</v>
      </c>
      <c r="F23" s="10">
        <v>1015561</v>
      </c>
      <c r="G23" s="10">
        <v>0</v>
      </c>
      <c r="H23" s="10">
        <v>0</v>
      </c>
      <c r="I23" s="10">
        <v>26130</v>
      </c>
      <c r="J23" s="10">
        <v>1770044</v>
      </c>
      <c r="K23" s="10">
        <v>3447811</v>
      </c>
      <c r="L23" s="11">
        <f t="shared" si="0"/>
        <v>30633932</v>
      </c>
    </row>
    <row r="24" spans="1:12" x14ac:dyDescent="0.35">
      <c r="A24" s="7">
        <v>40848</v>
      </c>
      <c r="B24" s="11">
        <v>4988121</v>
      </c>
      <c r="C24" s="9">
        <v>10466256</v>
      </c>
      <c r="D24" s="10">
        <v>83000</v>
      </c>
      <c r="E24" s="10">
        <v>738603</v>
      </c>
      <c r="F24" s="10">
        <v>958146</v>
      </c>
      <c r="G24" s="10">
        <v>0</v>
      </c>
      <c r="H24" s="10">
        <v>0</v>
      </c>
      <c r="I24" s="10">
        <v>11821</v>
      </c>
      <c r="J24" s="10">
        <v>1300359</v>
      </c>
      <c r="K24" s="10">
        <v>9382314</v>
      </c>
      <c r="L24" s="11">
        <f t="shared" si="0"/>
        <v>27928620</v>
      </c>
    </row>
    <row r="25" spans="1:12" x14ac:dyDescent="0.35">
      <c r="A25" s="7">
        <v>40878</v>
      </c>
      <c r="B25" s="11">
        <v>4130965</v>
      </c>
      <c r="C25" s="9">
        <v>15222504</v>
      </c>
      <c r="D25" s="10">
        <v>100455</v>
      </c>
      <c r="E25" s="10">
        <v>799483</v>
      </c>
      <c r="F25" s="10">
        <v>916976</v>
      </c>
      <c r="G25" s="10">
        <v>0</v>
      </c>
      <c r="H25" s="10">
        <v>0</v>
      </c>
      <c r="I25" s="10">
        <v>0</v>
      </c>
      <c r="J25" s="10">
        <v>1726304</v>
      </c>
      <c r="K25" s="10">
        <v>4056263</v>
      </c>
      <c r="L25" s="11">
        <f t="shared" si="0"/>
        <v>26952950</v>
      </c>
    </row>
    <row r="26" spans="1:12" x14ac:dyDescent="0.35">
      <c r="A26" s="7">
        <v>40909</v>
      </c>
      <c r="B26" s="11">
        <v>5244016</v>
      </c>
      <c r="C26" s="9">
        <v>10235329</v>
      </c>
      <c r="D26" s="10">
        <v>94308</v>
      </c>
      <c r="E26" s="10">
        <v>804762</v>
      </c>
      <c r="F26" s="10">
        <v>892776</v>
      </c>
      <c r="G26" s="10">
        <v>0</v>
      </c>
      <c r="H26" s="10">
        <v>0</v>
      </c>
      <c r="I26" s="10">
        <v>0</v>
      </c>
      <c r="J26" s="10">
        <v>2361248</v>
      </c>
      <c r="K26" s="10">
        <v>3071625</v>
      </c>
      <c r="L26" s="11">
        <f t="shared" si="0"/>
        <v>22704064</v>
      </c>
    </row>
    <row r="27" spans="1:12" x14ac:dyDescent="0.35">
      <c r="A27" s="7">
        <v>40940</v>
      </c>
      <c r="B27" s="11">
        <v>5981719</v>
      </c>
      <c r="C27" s="9">
        <v>10505557</v>
      </c>
      <c r="D27" s="10">
        <v>104283</v>
      </c>
      <c r="E27" s="10">
        <v>680075</v>
      </c>
      <c r="F27" s="10">
        <v>866601</v>
      </c>
      <c r="G27" s="10">
        <v>0</v>
      </c>
      <c r="H27" s="10">
        <v>0</v>
      </c>
      <c r="I27" s="10">
        <v>23757</v>
      </c>
      <c r="J27" s="10">
        <v>3707413</v>
      </c>
      <c r="K27" s="10">
        <v>3134011</v>
      </c>
      <c r="L27" s="11">
        <f t="shared" si="0"/>
        <v>25003416</v>
      </c>
    </row>
    <row r="28" spans="1:12" x14ac:dyDescent="0.35">
      <c r="A28" s="7">
        <v>40969</v>
      </c>
      <c r="B28" s="11">
        <v>6954474</v>
      </c>
      <c r="C28" s="9">
        <v>13157164</v>
      </c>
      <c r="D28" s="10">
        <v>132526</v>
      </c>
      <c r="E28" s="10">
        <v>764359</v>
      </c>
      <c r="F28" s="10">
        <v>879665</v>
      </c>
      <c r="G28" s="10">
        <v>0</v>
      </c>
      <c r="H28" s="10">
        <v>0</v>
      </c>
      <c r="I28" s="10">
        <v>25210</v>
      </c>
      <c r="J28" s="10">
        <v>2017591</v>
      </c>
      <c r="K28" s="10">
        <v>3792142</v>
      </c>
      <c r="L28" s="11">
        <f t="shared" si="0"/>
        <v>27723131</v>
      </c>
    </row>
    <row r="29" spans="1:12" x14ac:dyDescent="0.35">
      <c r="A29" s="7">
        <v>41000</v>
      </c>
      <c r="B29" s="11">
        <v>6652042</v>
      </c>
      <c r="C29" s="9">
        <v>11737679</v>
      </c>
      <c r="D29" s="10">
        <v>85431</v>
      </c>
      <c r="E29" s="10">
        <v>893838</v>
      </c>
      <c r="F29" s="10">
        <v>979758</v>
      </c>
      <c r="G29" s="10">
        <v>0</v>
      </c>
      <c r="H29" s="10">
        <v>0</v>
      </c>
      <c r="I29" s="10">
        <v>8967</v>
      </c>
      <c r="J29" s="10">
        <v>1320257</v>
      </c>
      <c r="K29" s="10">
        <v>3038477</v>
      </c>
      <c r="L29" s="11">
        <f t="shared" si="0"/>
        <v>24716449</v>
      </c>
    </row>
    <row r="30" spans="1:12" x14ac:dyDescent="0.35">
      <c r="A30" s="7">
        <v>41030</v>
      </c>
      <c r="B30" s="11">
        <v>5897094</v>
      </c>
      <c r="C30" s="9">
        <v>11119897</v>
      </c>
      <c r="D30" s="10">
        <v>122718</v>
      </c>
      <c r="E30" s="10">
        <v>902056</v>
      </c>
      <c r="F30" s="10">
        <v>985866</v>
      </c>
      <c r="G30" s="10">
        <v>0</v>
      </c>
      <c r="H30" s="10">
        <v>267</v>
      </c>
      <c r="I30" s="10">
        <v>10855</v>
      </c>
      <c r="J30" s="10">
        <v>1590805</v>
      </c>
      <c r="K30" s="10">
        <v>3847951</v>
      </c>
      <c r="L30" s="11">
        <f t="shared" si="0"/>
        <v>24477509</v>
      </c>
    </row>
    <row r="31" spans="1:12" x14ac:dyDescent="0.35">
      <c r="A31" s="7">
        <v>41061</v>
      </c>
      <c r="B31" s="11">
        <v>6203809</v>
      </c>
      <c r="C31" s="9">
        <v>11906406</v>
      </c>
      <c r="D31" s="10">
        <v>107477</v>
      </c>
      <c r="E31" s="10">
        <v>638480</v>
      </c>
      <c r="F31" s="10">
        <v>918751</v>
      </c>
      <c r="G31" s="10">
        <v>0</v>
      </c>
      <c r="H31" s="10">
        <v>233</v>
      </c>
      <c r="I31" s="10">
        <v>12263</v>
      </c>
      <c r="J31" s="10">
        <v>2191623</v>
      </c>
      <c r="K31" s="10">
        <v>3931630</v>
      </c>
      <c r="L31" s="11">
        <f t="shared" si="0"/>
        <v>25910672</v>
      </c>
    </row>
    <row r="32" spans="1:12" x14ac:dyDescent="0.35">
      <c r="A32" s="7">
        <v>41091</v>
      </c>
      <c r="B32" s="11">
        <v>5994003</v>
      </c>
      <c r="C32" s="9">
        <v>9593685</v>
      </c>
      <c r="D32" s="10">
        <v>114577</v>
      </c>
      <c r="E32" s="10">
        <v>531946</v>
      </c>
      <c r="F32" s="10">
        <v>869082</v>
      </c>
      <c r="G32" s="10">
        <v>0</v>
      </c>
      <c r="H32" s="10">
        <v>4973</v>
      </c>
      <c r="I32" s="10">
        <v>0</v>
      </c>
      <c r="J32" s="10">
        <v>2010605</v>
      </c>
      <c r="K32" s="10">
        <v>3882895</v>
      </c>
      <c r="L32" s="11">
        <f t="shared" si="0"/>
        <v>23001766</v>
      </c>
    </row>
    <row r="33" spans="1:12" x14ac:dyDescent="0.35">
      <c r="A33" s="7">
        <v>41122</v>
      </c>
      <c r="B33" s="11">
        <v>6342378</v>
      </c>
      <c r="C33" s="9">
        <v>11959973</v>
      </c>
      <c r="D33" s="10">
        <v>122365</v>
      </c>
      <c r="E33" s="10">
        <v>544297</v>
      </c>
      <c r="F33" s="10">
        <v>990383</v>
      </c>
      <c r="G33" s="10">
        <v>0</v>
      </c>
      <c r="H33" s="10">
        <v>2096</v>
      </c>
      <c r="I33" s="10">
        <v>21015</v>
      </c>
      <c r="J33" s="10">
        <v>1731895</v>
      </c>
      <c r="K33" s="10">
        <v>3650871</v>
      </c>
      <c r="L33" s="11">
        <f t="shared" si="0"/>
        <v>25365273</v>
      </c>
    </row>
    <row r="34" spans="1:12" x14ac:dyDescent="0.35">
      <c r="A34" s="7">
        <v>41153</v>
      </c>
      <c r="B34" s="11">
        <v>5828045</v>
      </c>
      <c r="C34" s="9">
        <v>13492779</v>
      </c>
      <c r="D34" s="10">
        <v>100178</v>
      </c>
      <c r="E34" s="10">
        <v>591021</v>
      </c>
      <c r="F34" s="10">
        <v>749100</v>
      </c>
      <c r="G34" s="10">
        <v>0</v>
      </c>
      <c r="H34" s="10">
        <v>0</v>
      </c>
      <c r="I34" s="10">
        <v>11449</v>
      </c>
      <c r="J34" s="10">
        <v>2238909</v>
      </c>
      <c r="K34" s="10">
        <v>3362901</v>
      </c>
      <c r="L34" s="11">
        <f t="shared" si="0"/>
        <v>26374382</v>
      </c>
    </row>
    <row r="35" spans="1:12" x14ac:dyDescent="0.35">
      <c r="A35" s="7">
        <v>41183</v>
      </c>
      <c r="B35" s="11">
        <v>6254622</v>
      </c>
      <c r="C35" s="9">
        <v>11473446</v>
      </c>
      <c r="D35" s="10">
        <v>85548</v>
      </c>
      <c r="E35" s="10">
        <v>618898</v>
      </c>
      <c r="F35" s="10">
        <v>798984</v>
      </c>
      <c r="G35" s="10">
        <v>0</v>
      </c>
      <c r="H35" s="10">
        <v>0</v>
      </c>
      <c r="I35" s="10">
        <v>15723</v>
      </c>
      <c r="J35" s="10">
        <v>2433574</v>
      </c>
      <c r="K35" s="10">
        <v>3221942</v>
      </c>
      <c r="L35" s="11">
        <f t="shared" si="0"/>
        <v>24902737</v>
      </c>
    </row>
    <row r="36" spans="1:12" x14ac:dyDescent="0.35">
      <c r="A36" s="7">
        <v>41214</v>
      </c>
      <c r="B36" s="11">
        <v>4913793</v>
      </c>
      <c r="C36" s="9">
        <v>9850584</v>
      </c>
      <c r="D36" s="10">
        <v>96130</v>
      </c>
      <c r="E36" s="10">
        <v>573902</v>
      </c>
      <c r="F36" s="10">
        <v>1054256</v>
      </c>
      <c r="G36" s="10">
        <v>0</v>
      </c>
      <c r="H36" s="10">
        <v>310</v>
      </c>
      <c r="I36" s="10">
        <v>15516</v>
      </c>
      <c r="J36" s="10">
        <v>1457489</v>
      </c>
      <c r="K36" s="10">
        <v>4443252</v>
      </c>
      <c r="L36" s="11">
        <f t="shared" si="0"/>
        <v>22405232</v>
      </c>
    </row>
    <row r="37" spans="1:12" x14ac:dyDescent="0.35">
      <c r="A37" s="7">
        <v>41244</v>
      </c>
      <c r="B37" s="11">
        <v>4483957</v>
      </c>
      <c r="C37" s="9">
        <v>14474429</v>
      </c>
      <c r="D37" s="10">
        <v>88161</v>
      </c>
      <c r="E37" s="10">
        <v>524800</v>
      </c>
      <c r="F37" s="10">
        <v>1012526</v>
      </c>
      <c r="G37" s="10">
        <v>0</v>
      </c>
      <c r="H37" s="10">
        <v>0</v>
      </c>
      <c r="I37" s="10">
        <v>17847</v>
      </c>
      <c r="J37" s="10">
        <v>2983939</v>
      </c>
      <c r="K37" s="10">
        <v>4731336</v>
      </c>
      <c r="L37" s="11">
        <f t="shared" si="0"/>
        <v>28316995</v>
      </c>
    </row>
    <row r="38" spans="1:12" x14ac:dyDescent="0.35">
      <c r="A38" s="7">
        <v>41275</v>
      </c>
      <c r="B38" s="11">
        <v>5306722</v>
      </c>
      <c r="C38" s="9">
        <v>11197590</v>
      </c>
      <c r="D38" s="10">
        <v>134838</v>
      </c>
      <c r="E38" s="10">
        <v>642966</v>
      </c>
      <c r="F38" s="10">
        <v>869315</v>
      </c>
      <c r="G38" s="10">
        <v>0</v>
      </c>
      <c r="H38" s="10">
        <v>1529</v>
      </c>
      <c r="I38" s="10">
        <v>18770</v>
      </c>
      <c r="J38" s="10">
        <v>1992139</v>
      </c>
      <c r="K38" s="10">
        <v>6654064</v>
      </c>
      <c r="L38" s="11">
        <f t="shared" si="0"/>
        <v>26817933</v>
      </c>
    </row>
    <row r="39" spans="1:12" x14ac:dyDescent="0.35">
      <c r="A39" s="7">
        <v>41306</v>
      </c>
      <c r="B39" s="11">
        <v>5785359</v>
      </c>
      <c r="C39" s="9">
        <v>9520832</v>
      </c>
      <c r="D39" s="10">
        <v>100986</v>
      </c>
      <c r="E39" s="10">
        <v>569331</v>
      </c>
      <c r="F39" s="10">
        <v>788307</v>
      </c>
      <c r="G39" s="10">
        <v>0</v>
      </c>
      <c r="H39" s="10">
        <v>638</v>
      </c>
      <c r="I39" s="10">
        <v>17190</v>
      </c>
      <c r="J39" s="10">
        <v>1382583</v>
      </c>
      <c r="K39" s="10">
        <v>3295355</v>
      </c>
      <c r="L39" s="11">
        <f t="shared" si="0"/>
        <v>21460581</v>
      </c>
    </row>
    <row r="40" spans="1:12" x14ac:dyDescent="0.35">
      <c r="A40" s="7">
        <v>41334</v>
      </c>
      <c r="B40" s="11">
        <v>6864106</v>
      </c>
      <c r="C40" s="9">
        <v>14553448</v>
      </c>
      <c r="D40" s="10">
        <v>112490</v>
      </c>
      <c r="E40" s="10">
        <v>685128</v>
      </c>
      <c r="F40" s="10">
        <v>1098761</v>
      </c>
      <c r="G40" s="10">
        <v>0</v>
      </c>
      <c r="H40" s="10">
        <v>0</v>
      </c>
      <c r="I40" s="10">
        <v>16771</v>
      </c>
      <c r="J40" s="10">
        <v>3075865</v>
      </c>
      <c r="K40" s="10">
        <v>4429737</v>
      </c>
      <c r="L40" s="11">
        <f t="shared" si="0"/>
        <v>30836306</v>
      </c>
    </row>
    <row r="41" spans="1:12" x14ac:dyDescent="0.35">
      <c r="A41" s="7">
        <v>41365</v>
      </c>
      <c r="B41" s="11">
        <v>7410557</v>
      </c>
      <c r="C41" s="9">
        <v>10992755</v>
      </c>
      <c r="D41" s="10">
        <v>95284</v>
      </c>
      <c r="E41" s="10">
        <v>669619</v>
      </c>
      <c r="F41" s="10">
        <v>912204</v>
      </c>
      <c r="G41" s="10">
        <v>0</v>
      </c>
      <c r="H41" s="10">
        <v>482</v>
      </c>
      <c r="I41" s="10">
        <v>17376</v>
      </c>
      <c r="J41" s="10">
        <v>1784934</v>
      </c>
      <c r="K41" s="10">
        <v>3576819</v>
      </c>
      <c r="L41" s="11">
        <f t="shared" si="0"/>
        <v>25460030</v>
      </c>
    </row>
    <row r="42" spans="1:12" x14ac:dyDescent="0.35">
      <c r="A42" s="7">
        <v>41395</v>
      </c>
      <c r="B42" s="11">
        <v>6650156</v>
      </c>
      <c r="C42" s="9">
        <v>11125939</v>
      </c>
      <c r="D42" s="10">
        <v>105750</v>
      </c>
      <c r="E42" s="10">
        <v>718599</v>
      </c>
      <c r="F42" s="10">
        <v>937884</v>
      </c>
      <c r="G42" s="10">
        <v>0</v>
      </c>
      <c r="H42" s="10">
        <v>733</v>
      </c>
      <c r="I42" s="10">
        <v>17851</v>
      </c>
      <c r="J42" s="10">
        <v>2163176</v>
      </c>
      <c r="K42" s="10">
        <v>4159366</v>
      </c>
      <c r="L42" s="11">
        <f t="shared" si="0"/>
        <v>25879454</v>
      </c>
    </row>
    <row r="43" spans="1:12" x14ac:dyDescent="0.35">
      <c r="A43" s="7">
        <v>41426</v>
      </c>
      <c r="B43" s="11">
        <v>6167947</v>
      </c>
      <c r="C43" s="9">
        <v>14036703</v>
      </c>
      <c r="D43" s="10">
        <v>110454</v>
      </c>
      <c r="E43" s="10">
        <v>616872</v>
      </c>
      <c r="F43" s="10">
        <v>976363</v>
      </c>
      <c r="G43" s="10">
        <v>0</v>
      </c>
      <c r="H43" s="10">
        <v>244</v>
      </c>
      <c r="I43" s="10">
        <v>13587</v>
      </c>
      <c r="J43" s="10">
        <v>2294871</v>
      </c>
      <c r="K43" s="10">
        <v>4763613</v>
      </c>
      <c r="L43" s="11">
        <f t="shared" si="0"/>
        <v>28980654</v>
      </c>
    </row>
    <row r="44" spans="1:12" x14ac:dyDescent="0.35">
      <c r="A44" s="7">
        <v>41456</v>
      </c>
      <c r="B44" s="11">
        <v>6463969</v>
      </c>
      <c r="C44" s="9">
        <v>9890371</v>
      </c>
      <c r="D44" s="10">
        <v>107741</v>
      </c>
      <c r="E44" s="10">
        <v>567482</v>
      </c>
      <c r="F44" s="10">
        <v>727167</v>
      </c>
      <c r="G44" s="10">
        <v>0</v>
      </c>
      <c r="H44" s="10">
        <v>265</v>
      </c>
      <c r="I44" s="10">
        <v>13219</v>
      </c>
      <c r="J44" s="10">
        <v>1567658</v>
      </c>
      <c r="K44" s="10">
        <v>4582334</v>
      </c>
      <c r="L44" s="11">
        <f t="shared" si="0"/>
        <v>23920206</v>
      </c>
    </row>
    <row r="45" spans="1:12" x14ac:dyDescent="0.35">
      <c r="A45" s="7">
        <v>41487</v>
      </c>
      <c r="B45" s="11">
        <v>6040665</v>
      </c>
      <c r="C45" s="9">
        <v>13192727</v>
      </c>
      <c r="D45" s="10">
        <v>129456</v>
      </c>
      <c r="E45" s="10">
        <v>669810</v>
      </c>
      <c r="F45" s="10">
        <v>825406</v>
      </c>
      <c r="G45" s="10">
        <v>0</v>
      </c>
      <c r="H45" s="10">
        <v>0</v>
      </c>
      <c r="I45" s="10">
        <v>14578</v>
      </c>
      <c r="J45" s="10">
        <v>1640943</v>
      </c>
      <c r="K45" s="10">
        <v>4263545</v>
      </c>
      <c r="L45" s="11">
        <f t="shared" si="0"/>
        <v>26777130</v>
      </c>
    </row>
    <row r="46" spans="1:12" x14ac:dyDescent="0.35">
      <c r="A46" s="7">
        <v>41518</v>
      </c>
      <c r="B46" s="11">
        <v>5878987</v>
      </c>
      <c r="C46" s="9">
        <v>14009636</v>
      </c>
      <c r="D46" s="10">
        <v>98023</v>
      </c>
      <c r="E46" s="10">
        <v>724248</v>
      </c>
      <c r="F46" s="10">
        <v>983633</v>
      </c>
      <c r="G46" s="10">
        <v>0</v>
      </c>
      <c r="H46" s="10">
        <v>2555</v>
      </c>
      <c r="I46" s="10">
        <v>12111</v>
      </c>
      <c r="J46" s="10">
        <v>2936384</v>
      </c>
      <c r="K46" s="10">
        <v>3746582</v>
      </c>
      <c r="L46" s="11">
        <f t="shared" si="0"/>
        <v>28392159</v>
      </c>
    </row>
    <row r="47" spans="1:12" x14ac:dyDescent="0.35">
      <c r="A47" s="7">
        <v>41548</v>
      </c>
      <c r="B47" s="11">
        <v>7883979</v>
      </c>
      <c r="C47" s="9">
        <v>10837339</v>
      </c>
      <c r="D47" s="10">
        <v>114933</v>
      </c>
      <c r="E47" s="10">
        <v>661514</v>
      </c>
      <c r="F47" s="10">
        <v>1072602</v>
      </c>
      <c r="G47" s="10">
        <v>0</v>
      </c>
      <c r="H47" s="10">
        <v>242</v>
      </c>
      <c r="I47" s="10">
        <v>0</v>
      </c>
      <c r="J47" s="10">
        <v>2428235</v>
      </c>
      <c r="K47" s="10">
        <v>3565269</v>
      </c>
      <c r="L47" s="11">
        <f t="shared" si="0"/>
        <v>26564113</v>
      </c>
    </row>
    <row r="48" spans="1:12" x14ac:dyDescent="0.35">
      <c r="A48" s="7">
        <v>41579</v>
      </c>
      <c r="B48" s="11">
        <v>5739464</v>
      </c>
      <c r="C48" s="9">
        <v>21768283</v>
      </c>
      <c r="D48" s="10">
        <v>92552</v>
      </c>
      <c r="E48" s="10">
        <v>630753</v>
      </c>
      <c r="F48" s="10">
        <v>711304</v>
      </c>
      <c r="G48" s="10">
        <v>0</v>
      </c>
      <c r="H48" s="10">
        <v>0</v>
      </c>
      <c r="I48" s="10">
        <v>18025</v>
      </c>
      <c r="J48" s="10">
        <v>1644116</v>
      </c>
      <c r="K48" s="10">
        <v>3972068</v>
      </c>
      <c r="L48" s="11">
        <f t="shared" si="0"/>
        <v>34576565</v>
      </c>
    </row>
    <row r="49" spans="1:12" ht="15" thickBot="1" x14ac:dyDescent="0.4">
      <c r="A49" s="55">
        <v>41609</v>
      </c>
      <c r="B49" s="67">
        <v>4944157</v>
      </c>
      <c r="C49" s="68">
        <v>15292340</v>
      </c>
      <c r="D49" s="69">
        <v>88303</v>
      </c>
      <c r="E49" s="69">
        <v>691960</v>
      </c>
      <c r="F49" s="69">
        <v>846238</v>
      </c>
      <c r="G49" s="69">
        <v>0</v>
      </c>
      <c r="H49" s="69">
        <v>799</v>
      </c>
      <c r="I49" s="69">
        <v>31017</v>
      </c>
      <c r="J49" s="69">
        <v>2026492</v>
      </c>
      <c r="K49" s="69">
        <v>9727726</v>
      </c>
      <c r="L49" s="67">
        <f t="shared" si="0"/>
        <v>33649032</v>
      </c>
    </row>
    <row r="50" spans="1:12" x14ac:dyDescent="0.35">
      <c r="A50" s="53">
        <v>41640</v>
      </c>
      <c r="B50" s="70">
        <v>5592551</v>
      </c>
      <c r="C50" s="71">
        <v>10918501</v>
      </c>
      <c r="D50" s="72">
        <v>131097</v>
      </c>
      <c r="E50" s="72">
        <v>607293</v>
      </c>
      <c r="F50" s="72">
        <v>731270</v>
      </c>
      <c r="G50" s="72">
        <v>0</v>
      </c>
      <c r="H50" s="72">
        <v>1231</v>
      </c>
      <c r="I50" s="72">
        <v>0</v>
      </c>
      <c r="J50" s="72">
        <v>2166308</v>
      </c>
      <c r="K50" s="72">
        <v>4127513</v>
      </c>
      <c r="L50" s="70">
        <f t="shared" si="0"/>
        <v>24275764</v>
      </c>
    </row>
    <row r="51" spans="1:12" x14ac:dyDescent="0.35">
      <c r="A51" s="7">
        <v>41671</v>
      </c>
      <c r="B51" s="11">
        <v>6650312</v>
      </c>
      <c r="C51" s="9">
        <v>10043921</v>
      </c>
      <c r="D51" s="10">
        <v>110530</v>
      </c>
      <c r="E51" s="10">
        <v>699975</v>
      </c>
      <c r="F51" s="10">
        <v>739423</v>
      </c>
      <c r="G51" s="10">
        <v>0</v>
      </c>
      <c r="H51" s="10">
        <v>336</v>
      </c>
      <c r="I51" s="10">
        <v>14116</v>
      </c>
      <c r="J51" s="10">
        <v>2156642</v>
      </c>
      <c r="K51" s="10">
        <v>7045608</v>
      </c>
      <c r="L51" s="11">
        <f t="shared" si="0"/>
        <v>27460863</v>
      </c>
    </row>
    <row r="52" spans="1:12" x14ac:dyDescent="0.35">
      <c r="A52" s="7">
        <v>41699</v>
      </c>
      <c r="B52" s="11">
        <v>7919753</v>
      </c>
      <c r="C52" s="9">
        <v>14454637</v>
      </c>
      <c r="D52" s="10">
        <v>117604</v>
      </c>
      <c r="E52" s="10">
        <v>720896</v>
      </c>
      <c r="F52" s="10">
        <v>836232</v>
      </c>
      <c r="G52" s="10">
        <v>0</v>
      </c>
      <c r="H52" s="10">
        <v>2441</v>
      </c>
      <c r="I52" s="10">
        <v>13161</v>
      </c>
      <c r="J52" s="10">
        <v>892110</v>
      </c>
      <c r="K52" s="10">
        <v>7415455</v>
      </c>
      <c r="L52" s="11">
        <f t="shared" si="0"/>
        <v>32372289</v>
      </c>
    </row>
    <row r="53" spans="1:12" x14ac:dyDescent="0.35">
      <c r="A53" s="7">
        <v>41730</v>
      </c>
      <c r="B53" s="11">
        <v>7539093</v>
      </c>
      <c r="C53" s="9">
        <v>11479674</v>
      </c>
      <c r="D53" s="10">
        <v>99941</v>
      </c>
      <c r="E53" s="10">
        <v>727572</v>
      </c>
      <c r="F53" s="10">
        <v>904074</v>
      </c>
      <c r="G53" s="10">
        <v>0</v>
      </c>
      <c r="H53" s="10">
        <v>880</v>
      </c>
      <c r="I53" s="10">
        <v>13315</v>
      </c>
      <c r="J53" s="10">
        <v>1573377</v>
      </c>
      <c r="K53" s="10">
        <v>7426239</v>
      </c>
      <c r="L53" s="11">
        <f t="shared" si="0"/>
        <v>29764165</v>
      </c>
    </row>
    <row r="54" spans="1:12" x14ac:dyDescent="0.35">
      <c r="A54" s="7">
        <v>41760</v>
      </c>
      <c r="B54" s="11">
        <v>8887671</v>
      </c>
      <c r="C54" s="9">
        <v>11482206</v>
      </c>
      <c r="D54" s="10">
        <v>109099</v>
      </c>
      <c r="E54" s="10">
        <v>764960</v>
      </c>
      <c r="F54" s="10">
        <v>1158192</v>
      </c>
      <c r="G54" s="10">
        <v>0</v>
      </c>
      <c r="H54" s="10">
        <v>3150</v>
      </c>
      <c r="I54" s="10">
        <v>15823</v>
      </c>
      <c r="J54" s="10">
        <v>1797131</v>
      </c>
      <c r="K54" s="10">
        <v>7622027</v>
      </c>
      <c r="L54" s="11">
        <f t="shared" si="0"/>
        <v>31840259</v>
      </c>
    </row>
    <row r="55" spans="1:12" x14ac:dyDescent="0.35">
      <c r="A55" s="7">
        <v>41791</v>
      </c>
      <c r="B55" s="11">
        <v>7575537</v>
      </c>
      <c r="C55" s="9">
        <v>14169210</v>
      </c>
      <c r="D55" s="10">
        <v>122005</v>
      </c>
      <c r="E55" s="10">
        <v>844978</v>
      </c>
      <c r="F55" s="10">
        <v>704110</v>
      </c>
      <c r="G55" s="10">
        <v>0</v>
      </c>
      <c r="H55" s="10">
        <v>11</v>
      </c>
      <c r="I55" s="10">
        <v>10203</v>
      </c>
      <c r="J55" s="10">
        <v>1131397</v>
      </c>
      <c r="K55" s="10">
        <v>8335454</v>
      </c>
      <c r="L55" s="11">
        <f t="shared" si="0"/>
        <v>32892905</v>
      </c>
    </row>
    <row r="56" spans="1:12" x14ac:dyDescent="0.35">
      <c r="A56" s="7">
        <v>41821</v>
      </c>
      <c r="B56" s="11">
        <v>7378981</v>
      </c>
      <c r="C56" s="9">
        <v>12316988</v>
      </c>
      <c r="D56" s="10">
        <v>355886</v>
      </c>
      <c r="E56" s="10">
        <v>694422</v>
      </c>
      <c r="F56" s="10">
        <v>675041</v>
      </c>
      <c r="G56" s="10">
        <v>0</v>
      </c>
      <c r="H56" s="10">
        <v>152</v>
      </c>
      <c r="I56" s="10">
        <v>0</v>
      </c>
      <c r="J56" s="10">
        <v>1659022</v>
      </c>
      <c r="K56" s="10">
        <v>8388315</v>
      </c>
      <c r="L56" s="11">
        <f t="shared" si="0"/>
        <v>31468807</v>
      </c>
    </row>
    <row r="57" spans="1:12" x14ac:dyDescent="0.35">
      <c r="A57" s="7">
        <v>41852</v>
      </c>
      <c r="B57" s="11">
        <v>6866586</v>
      </c>
      <c r="C57" s="9">
        <v>12892851</v>
      </c>
      <c r="D57" s="10">
        <v>276032</v>
      </c>
      <c r="E57" s="10">
        <v>628460</v>
      </c>
      <c r="F57" s="10">
        <v>673722</v>
      </c>
      <c r="G57" s="10">
        <v>0</v>
      </c>
      <c r="H57" s="10">
        <v>10744</v>
      </c>
      <c r="I57" s="10">
        <v>24278</v>
      </c>
      <c r="J57" s="10">
        <v>1279675</v>
      </c>
      <c r="K57" s="10">
        <v>7291078</v>
      </c>
      <c r="L57" s="11">
        <f t="shared" si="0"/>
        <v>29943426</v>
      </c>
    </row>
    <row r="58" spans="1:12" x14ac:dyDescent="0.35">
      <c r="A58" s="7">
        <v>41883</v>
      </c>
      <c r="B58" s="11">
        <v>7180505</v>
      </c>
      <c r="C58" s="9">
        <v>12959055</v>
      </c>
      <c r="D58" s="10">
        <v>217874</v>
      </c>
      <c r="E58" s="10">
        <v>760295</v>
      </c>
      <c r="F58" s="10">
        <v>892541</v>
      </c>
      <c r="G58" s="10">
        <v>0</v>
      </c>
      <c r="H58" s="10">
        <v>1092</v>
      </c>
      <c r="I58" s="10">
        <v>12956</v>
      </c>
      <c r="J58" s="10">
        <v>1513199</v>
      </c>
      <c r="K58" s="10">
        <v>6993012</v>
      </c>
      <c r="L58" s="11">
        <f t="shared" si="0"/>
        <v>30530529</v>
      </c>
    </row>
    <row r="59" spans="1:12" x14ac:dyDescent="0.35">
      <c r="A59" s="7">
        <v>41913</v>
      </c>
      <c r="B59" s="11">
        <v>7830330</v>
      </c>
      <c r="C59" s="9">
        <v>11960980</v>
      </c>
      <c r="D59" s="10">
        <v>251789</v>
      </c>
      <c r="E59" s="10">
        <v>743309</v>
      </c>
      <c r="F59" s="10">
        <v>873518</v>
      </c>
      <c r="G59" s="10">
        <v>0</v>
      </c>
      <c r="H59" s="10">
        <v>190</v>
      </c>
      <c r="I59" s="10">
        <v>16572</v>
      </c>
      <c r="J59" s="10">
        <v>1359398</v>
      </c>
      <c r="K59" s="10">
        <v>7454247</v>
      </c>
      <c r="L59" s="11">
        <f t="shared" si="0"/>
        <v>30490333</v>
      </c>
    </row>
    <row r="60" spans="1:12" x14ac:dyDescent="0.35">
      <c r="A60" s="7">
        <v>41944</v>
      </c>
      <c r="B60" s="11">
        <v>6474290</v>
      </c>
      <c r="C60" s="9">
        <v>10710036</v>
      </c>
      <c r="D60" s="10">
        <v>186620</v>
      </c>
      <c r="E60" s="10">
        <v>696353</v>
      </c>
      <c r="F60" s="10">
        <v>878649</v>
      </c>
      <c r="G60" s="10">
        <v>0</v>
      </c>
      <c r="H60" s="10">
        <v>2297</v>
      </c>
      <c r="I60" s="10">
        <v>15913</v>
      </c>
      <c r="J60" s="10">
        <v>891775</v>
      </c>
      <c r="K60" s="10">
        <v>6694553</v>
      </c>
      <c r="L60" s="11">
        <f t="shared" si="0"/>
        <v>26550486</v>
      </c>
    </row>
    <row r="61" spans="1:12" ht="15" thickBot="1" x14ac:dyDescent="0.4">
      <c r="A61" s="15">
        <v>41974</v>
      </c>
      <c r="B61" s="54">
        <v>5590151</v>
      </c>
      <c r="C61" s="73">
        <v>15207144</v>
      </c>
      <c r="D61" s="74">
        <v>161234</v>
      </c>
      <c r="E61" s="74">
        <v>783700</v>
      </c>
      <c r="F61" s="74">
        <v>700492</v>
      </c>
      <c r="G61" s="74">
        <v>1850</v>
      </c>
      <c r="H61" s="74">
        <v>671</v>
      </c>
      <c r="I61" s="74">
        <v>19234</v>
      </c>
      <c r="J61" s="74">
        <v>1030460</v>
      </c>
      <c r="K61" s="74">
        <v>7477363</v>
      </c>
      <c r="L61" s="54">
        <f t="shared" si="0"/>
        <v>30972299</v>
      </c>
    </row>
    <row r="62" spans="1:12" x14ac:dyDescent="0.35">
      <c r="A62" s="42">
        <v>42005</v>
      </c>
      <c r="B62" s="37">
        <v>6512959</v>
      </c>
      <c r="C62" s="44">
        <v>11236267</v>
      </c>
      <c r="D62" s="45">
        <v>234948</v>
      </c>
      <c r="E62" s="45">
        <v>734077</v>
      </c>
      <c r="F62" s="45">
        <v>760607</v>
      </c>
      <c r="G62" s="45">
        <v>0</v>
      </c>
      <c r="H62" s="45">
        <v>124</v>
      </c>
      <c r="I62" s="45">
        <v>17862</v>
      </c>
      <c r="J62" s="45">
        <v>1187037</v>
      </c>
      <c r="K62" s="45">
        <v>6712757</v>
      </c>
      <c r="L62" s="37">
        <f t="shared" si="0"/>
        <v>27396638</v>
      </c>
    </row>
    <row r="63" spans="1:12" x14ac:dyDescent="0.35">
      <c r="A63" s="7">
        <v>42036</v>
      </c>
      <c r="B63" s="11">
        <v>6548336</v>
      </c>
      <c r="C63" s="9">
        <v>9951986</v>
      </c>
      <c r="D63" s="10">
        <v>237562</v>
      </c>
      <c r="E63" s="10">
        <v>651827</v>
      </c>
      <c r="F63" s="10">
        <v>686523</v>
      </c>
      <c r="G63" s="10">
        <v>0</v>
      </c>
      <c r="H63" s="10">
        <v>0</v>
      </c>
      <c r="I63" s="10">
        <v>14753</v>
      </c>
      <c r="J63" s="10">
        <v>240174</v>
      </c>
      <c r="K63" s="10">
        <v>7168646</v>
      </c>
      <c r="L63" s="11">
        <f t="shared" si="0"/>
        <v>25499807</v>
      </c>
    </row>
    <row r="64" spans="1:12" x14ac:dyDescent="0.35">
      <c r="A64" s="7">
        <v>42064</v>
      </c>
      <c r="B64" s="11">
        <v>8026757</v>
      </c>
      <c r="C64" s="9">
        <v>14067746</v>
      </c>
      <c r="D64" s="10">
        <v>246141</v>
      </c>
      <c r="E64" s="10">
        <v>706666</v>
      </c>
      <c r="F64" s="10">
        <v>840422</v>
      </c>
      <c r="G64" s="10">
        <v>0</v>
      </c>
      <c r="H64" s="10">
        <v>2413</v>
      </c>
      <c r="I64" s="10">
        <v>15173</v>
      </c>
      <c r="J64" s="10">
        <v>1018762</v>
      </c>
      <c r="K64" s="10">
        <v>7795093</v>
      </c>
      <c r="L64" s="11">
        <f t="shared" si="0"/>
        <v>32719173</v>
      </c>
    </row>
    <row r="65" spans="1:12" x14ac:dyDescent="0.35">
      <c r="A65" s="7">
        <v>42095</v>
      </c>
      <c r="B65" s="11">
        <v>7473608</v>
      </c>
      <c r="C65" s="9">
        <v>10688935</v>
      </c>
      <c r="D65" s="10">
        <v>243000</v>
      </c>
      <c r="E65" s="10">
        <v>703385</v>
      </c>
      <c r="F65" s="10">
        <v>793497</v>
      </c>
      <c r="G65" s="10">
        <v>0</v>
      </c>
      <c r="H65" s="10">
        <v>0</v>
      </c>
      <c r="I65" s="10">
        <v>13957</v>
      </c>
      <c r="J65" s="10">
        <v>750097</v>
      </c>
      <c r="K65" s="10">
        <v>7581773</v>
      </c>
      <c r="L65" s="11">
        <f t="shared" si="0"/>
        <v>28248252</v>
      </c>
    </row>
    <row r="66" spans="1:12" x14ac:dyDescent="0.35">
      <c r="A66" s="7">
        <v>42125</v>
      </c>
      <c r="B66" s="11">
        <v>7368548</v>
      </c>
      <c r="C66" s="9">
        <v>11462230</v>
      </c>
      <c r="D66" s="10">
        <v>237443</v>
      </c>
      <c r="E66" s="10">
        <v>739804</v>
      </c>
      <c r="F66" s="10">
        <v>726970</v>
      </c>
      <c r="G66" s="10">
        <v>17717</v>
      </c>
      <c r="H66" s="10">
        <v>0</v>
      </c>
      <c r="I66" s="10">
        <v>11868</v>
      </c>
      <c r="J66" s="10">
        <v>664160</v>
      </c>
      <c r="K66" s="10">
        <v>7131253</v>
      </c>
      <c r="L66" s="11">
        <f t="shared" si="0"/>
        <v>28359993</v>
      </c>
    </row>
    <row r="67" spans="1:12" x14ac:dyDescent="0.35">
      <c r="A67" s="7">
        <v>42156</v>
      </c>
      <c r="B67" s="11">
        <v>7067268.1100000003</v>
      </c>
      <c r="C67" s="9">
        <v>13029048.85</v>
      </c>
      <c r="D67" s="10">
        <v>276465.98</v>
      </c>
      <c r="E67" s="10">
        <v>686794.39</v>
      </c>
      <c r="F67" s="10">
        <v>778657.84</v>
      </c>
      <c r="G67" s="10">
        <v>18760.55</v>
      </c>
      <c r="H67" s="10">
        <v>8135.62</v>
      </c>
      <c r="I67" s="10">
        <v>12068</v>
      </c>
      <c r="J67" s="10">
        <v>2050363</v>
      </c>
      <c r="K67" s="10">
        <v>7607842.4699999997</v>
      </c>
      <c r="L67" s="11">
        <f t="shared" ref="L67:L79" si="1">SUM(B67:K67)</f>
        <v>31535404.810000002</v>
      </c>
    </row>
    <row r="68" spans="1:12" x14ac:dyDescent="0.35">
      <c r="A68" s="7">
        <v>42186</v>
      </c>
      <c r="B68" s="11">
        <v>7985640</v>
      </c>
      <c r="C68" s="9">
        <v>10459676</v>
      </c>
      <c r="D68" s="10">
        <v>333188</v>
      </c>
      <c r="E68" s="10">
        <v>641287</v>
      </c>
      <c r="F68" s="10">
        <v>743567</v>
      </c>
      <c r="G68" s="10">
        <v>20491</v>
      </c>
      <c r="H68" s="10">
        <v>0</v>
      </c>
      <c r="I68" s="10">
        <v>12381</v>
      </c>
      <c r="J68" s="10">
        <v>782562</v>
      </c>
      <c r="K68" s="10">
        <v>8037838</v>
      </c>
      <c r="L68" s="11">
        <f t="shared" si="1"/>
        <v>29016630</v>
      </c>
    </row>
    <row r="69" spans="1:12" x14ac:dyDescent="0.35">
      <c r="A69" s="7">
        <v>42217</v>
      </c>
      <c r="B69" s="11">
        <v>5738367</v>
      </c>
      <c r="C69" s="9">
        <v>12270461</v>
      </c>
      <c r="D69" s="10">
        <v>275902</v>
      </c>
      <c r="E69" s="10">
        <v>634471</v>
      </c>
      <c r="F69" s="10">
        <v>861349</v>
      </c>
      <c r="G69" s="10">
        <v>16354</v>
      </c>
      <c r="H69" s="10">
        <v>0</v>
      </c>
      <c r="I69" s="10">
        <v>11857</v>
      </c>
      <c r="J69" s="10">
        <v>665040</v>
      </c>
      <c r="K69" s="10">
        <v>7142036</v>
      </c>
      <c r="L69" s="11">
        <f t="shared" si="1"/>
        <v>27615837</v>
      </c>
    </row>
    <row r="70" spans="1:12" x14ac:dyDescent="0.35">
      <c r="A70" s="7">
        <v>42248</v>
      </c>
      <c r="B70" s="11">
        <v>5957935</v>
      </c>
      <c r="C70" s="9">
        <v>13209276</v>
      </c>
      <c r="D70" s="10">
        <v>213329</v>
      </c>
      <c r="E70" s="10">
        <v>673433</v>
      </c>
      <c r="F70" s="10">
        <v>934122</v>
      </c>
      <c r="G70" s="10">
        <v>14772</v>
      </c>
      <c r="H70" s="10">
        <v>0</v>
      </c>
      <c r="I70" s="10">
        <v>0</v>
      </c>
      <c r="J70" s="10">
        <v>200327</v>
      </c>
      <c r="K70" s="10">
        <v>7060257</v>
      </c>
      <c r="L70" s="11">
        <f t="shared" si="1"/>
        <v>28263451</v>
      </c>
    </row>
    <row r="71" spans="1:12" x14ac:dyDescent="0.35">
      <c r="A71" s="7">
        <v>42278</v>
      </c>
      <c r="B71" s="11">
        <v>7864182</v>
      </c>
      <c r="C71" s="9">
        <v>11029793</v>
      </c>
      <c r="D71" s="10">
        <v>206710</v>
      </c>
      <c r="E71" s="10">
        <v>670559</v>
      </c>
      <c r="F71" s="10">
        <v>787572</v>
      </c>
      <c r="G71" s="10">
        <v>15861</v>
      </c>
      <c r="H71" s="10">
        <v>318</v>
      </c>
      <c r="I71" s="10">
        <v>25554</v>
      </c>
      <c r="J71" s="10">
        <v>932575</v>
      </c>
      <c r="K71" s="10">
        <v>8213096</v>
      </c>
      <c r="L71" s="11">
        <f t="shared" si="1"/>
        <v>29746220</v>
      </c>
    </row>
    <row r="72" spans="1:12" x14ac:dyDescent="0.35">
      <c r="A72" s="7">
        <v>42309</v>
      </c>
      <c r="B72" s="11">
        <v>5737550</v>
      </c>
      <c r="C72" s="9">
        <v>10582750</v>
      </c>
      <c r="D72" s="10">
        <v>175417</v>
      </c>
      <c r="E72" s="10">
        <v>606074</v>
      </c>
      <c r="F72" s="10">
        <v>642254</v>
      </c>
      <c r="G72" s="10">
        <v>14434</v>
      </c>
      <c r="H72" s="10">
        <v>924</v>
      </c>
      <c r="I72" s="10">
        <v>14437</v>
      </c>
      <c r="J72" s="10">
        <v>643884</v>
      </c>
      <c r="K72" s="10">
        <v>7464160</v>
      </c>
      <c r="L72" s="11">
        <f t="shared" si="1"/>
        <v>25881884</v>
      </c>
    </row>
    <row r="73" spans="1:12" ht="15" thickBot="1" x14ac:dyDescent="0.4">
      <c r="A73" s="55">
        <v>42339</v>
      </c>
      <c r="B73" s="67">
        <v>4866595.12</v>
      </c>
      <c r="C73" s="68">
        <v>14703484.07</v>
      </c>
      <c r="D73" s="69">
        <v>284648.5</v>
      </c>
      <c r="E73" s="69">
        <v>746010.73</v>
      </c>
      <c r="F73" s="69">
        <v>811412.08</v>
      </c>
      <c r="G73" s="69">
        <v>15130.77</v>
      </c>
      <c r="H73" s="69">
        <v>0</v>
      </c>
      <c r="I73" s="69">
        <v>0</v>
      </c>
      <c r="J73" s="69">
        <v>756202.58</v>
      </c>
      <c r="K73" s="69">
        <v>8607972.3399999999</v>
      </c>
      <c r="L73" s="67">
        <f t="shared" si="1"/>
        <v>30791456.189999998</v>
      </c>
    </row>
    <row r="74" spans="1:12" x14ac:dyDescent="0.35">
      <c r="A74" s="53">
        <v>42370</v>
      </c>
      <c r="B74" s="70">
        <v>5892730</v>
      </c>
      <c r="C74" s="71">
        <v>10611407</v>
      </c>
      <c r="D74" s="72">
        <v>193290</v>
      </c>
      <c r="E74" s="72">
        <v>653755</v>
      </c>
      <c r="F74" s="72">
        <v>813393</v>
      </c>
      <c r="G74" s="72">
        <v>14320</v>
      </c>
      <c r="H74" s="72">
        <v>25973</v>
      </c>
      <c r="I74" s="72">
        <v>0</v>
      </c>
      <c r="J74" s="72">
        <v>514293</v>
      </c>
      <c r="K74" s="72">
        <v>7960740</v>
      </c>
      <c r="L74" s="70">
        <f t="shared" si="1"/>
        <v>26679901</v>
      </c>
    </row>
    <row r="75" spans="1:12" x14ac:dyDescent="0.35">
      <c r="A75" s="7">
        <v>42401</v>
      </c>
      <c r="B75" s="11">
        <v>6519780.3399999999</v>
      </c>
      <c r="C75" s="9">
        <v>9976266.8200000003</v>
      </c>
      <c r="D75" s="10">
        <v>1212134.06</v>
      </c>
      <c r="E75" s="10">
        <v>603856.11</v>
      </c>
      <c r="F75" s="10">
        <v>915807.12</v>
      </c>
      <c r="G75" s="10">
        <v>36203.660000000003</v>
      </c>
      <c r="H75" s="10">
        <v>3472.37</v>
      </c>
      <c r="I75" s="10">
        <v>44676</v>
      </c>
      <c r="J75" s="10">
        <v>576726.52</v>
      </c>
      <c r="K75" s="10">
        <v>11387153.18</v>
      </c>
      <c r="L75" s="11">
        <f t="shared" si="1"/>
        <v>31276076.18</v>
      </c>
    </row>
    <row r="76" spans="1:12" x14ac:dyDescent="0.35">
      <c r="A76" s="7">
        <v>42430</v>
      </c>
      <c r="B76" s="11">
        <v>6868866.29</v>
      </c>
      <c r="C76" s="9">
        <v>15564995.98</v>
      </c>
      <c r="D76" s="10">
        <v>269481.28999999998</v>
      </c>
      <c r="E76" s="10">
        <v>569614.92000000004</v>
      </c>
      <c r="F76" s="10">
        <v>915451.11</v>
      </c>
      <c r="G76" s="10">
        <v>0</v>
      </c>
      <c r="H76" s="10">
        <v>0</v>
      </c>
      <c r="I76" s="10">
        <v>14363</v>
      </c>
      <c r="J76" s="10">
        <v>1032704.19</v>
      </c>
      <c r="K76" s="10">
        <v>7366601.9800000004</v>
      </c>
      <c r="L76" s="11">
        <f t="shared" si="1"/>
        <v>32602078.760000002</v>
      </c>
    </row>
    <row r="77" spans="1:12" x14ac:dyDescent="0.35">
      <c r="A77" s="7">
        <v>42461</v>
      </c>
      <c r="B77" s="11">
        <v>7166113</v>
      </c>
      <c r="C77" s="9">
        <v>11018492</v>
      </c>
      <c r="D77" s="10">
        <v>442962</v>
      </c>
      <c r="E77" s="10">
        <v>655051</v>
      </c>
      <c r="F77" s="10">
        <v>696245</v>
      </c>
      <c r="G77" s="10">
        <v>29636</v>
      </c>
      <c r="H77" s="10">
        <v>2978</v>
      </c>
      <c r="I77" s="10">
        <v>14918</v>
      </c>
      <c r="J77" s="10">
        <v>692998</v>
      </c>
      <c r="K77" s="10">
        <v>5602975</v>
      </c>
      <c r="L77" s="11">
        <f t="shared" si="1"/>
        <v>26322368</v>
      </c>
    </row>
    <row r="78" spans="1:12" x14ac:dyDescent="0.35">
      <c r="A78" s="7">
        <v>42491</v>
      </c>
      <c r="B78" s="11">
        <v>6986687.2300000004</v>
      </c>
      <c r="C78" s="9">
        <v>11005760.65</v>
      </c>
      <c r="D78" s="10">
        <v>1194959.68</v>
      </c>
      <c r="E78" s="10">
        <v>690037.54</v>
      </c>
      <c r="F78" s="10">
        <v>908227.49</v>
      </c>
      <c r="G78" s="10">
        <v>9679</v>
      </c>
      <c r="H78" s="10">
        <v>7589.73</v>
      </c>
      <c r="I78" s="10">
        <v>0</v>
      </c>
      <c r="J78" s="10">
        <v>733272.64</v>
      </c>
      <c r="K78" s="10">
        <v>8179151.8600000003</v>
      </c>
      <c r="L78" s="11">
        <f t="shared" si="1"/>
        <v>29715365.82</v>
      </c>
    </row>
    <row r="79" spans="1:12" x14ac:dyDescent="0.35">
      <c r="A79" s="7">
        <v>42522</v>
      </c>
      <c r="B79" s="11">
        <v>5911164.1699999999</v>
      </c>
      <c r="C79" s="9">
        <v>12866381.060000001</v>
      </c>
      <c r="D79" s="10">
        <v>357298.8</v>
      </c>
      <c r="E79" s="10">
        <v>715714.02</v>
      </c>
      <c r="F79" s="10">
        <v>708554.16</v>
      </c>
      <c r="G79" s="10"/>
      <c r="H79" s="10">
        <v>1963.43</v>
      </c>
      <c r="I79" s="10"/>
      <c r="J79" s="10">
        <v>631003.07999999996</v>
      </c>
      <c r="K79" s="10">
        <v>12317324.699999999</v>
      </c>
      <c r="L79" s="11">
        <f t="shared" si="1"/>
        <v>33509403.419999998</v>
      </c>
    </row>
    <row r="80" spans="1:12" x14ac:dyDescent="0.35">
      <c r="A80" s="7">
        <v>42552</v>
      </c>
      <c r="B80" s="11">
        <v>5896820</v>
      </c>
      <c r="C80" s="9">
        <v>11310818</v>
      </c>
      <c r="D80" s="10">
        <v>358643</v>
      </c>
      <c r="E80" s="10">
        <v>522115</v>
      </c>
      <c r="F80" s="10">
        <v>884595</v>
      </c>
      <c r="G80" s="10"/>
      <c r="H80" s="10">
        <v>46</v>
      </c>
      <c r="I80" s="10">
        <v>31097</v>
      </c>
      <c r="J80" s="10">
        <v>450830</v>
      </c>
      <c r="K80" s="10">
        <v>8489751</v>
      </c>
      <c r="L80" s="11">
        <f>SUM(B80:K80)</f>
        <v>27944715</v>
      </c>
    </row>
    <row r="81" spans="1:12" x14ac:dyDescent="0.35">
      <c r="A81" s="7">
        <v>42583</v>
      </c>
      <c r="B81" s="11">
        <v>8936997</v>
      </c>
      <c r="C81" s="9">
        <v>11471525</v>
      </c>
      <c r="D81" s="10">
        <v>306479</v>
      </c>
      <c r="E81" s="10">
        <v>572081</v>
      </c>
      <c r="F81" s="10">
        <v>814695</v>
      </c>
      <c r="G81" s="10">
        <v>22887</v>
      </c>
      <c r="H81" s="10"/>
      <c r="I81" s="10">
        <v>8587</v>
      </c>
      <c r="J81" s="10">
        <v>713685</v>
      </c>
      <c r="K81" s="10">
        <v>9277597</v>
      </c>
      <c r="L81" s="11">
        <f>SUM(B81:K81)</f>
        <v>32124533</v>
      </c>
    </row>
    <row r="82" spans="1:12" x14ac:dyDescent="0.35">
      <c r="A82" s="7">
        <v>42614</v>
      </c>
      <c r="B82" s="11">
        <v>8379019.8700000001</v>
      </c>
      <c r="C82" s="9">
        <v>12623205.859999999</v>
      </c>
      <c r="D82" s="10">
        <v>271345.17</v>
      </c>
      <c r="E82" s="10">
        <v>676700.58</v>
      </c>
      <c r="F82" s="10">
        <v>910660.8</v>
      </c>
      <c r="G82" s="10">
        <v>5070.8500000000004</v>
      </c>
      <c r="H82" s="10">
        <v>5830.51</v>
      </c>
      <c r="I82" s="10">
        <v>11146.96</v>
      </c>
      <c r="J82" s="10">
        <v>862337.37</v>
      </c>
      <c r="K82" s="10">
        <v>12182295.48</v>
      </c>
      <c r="L82" s="11">
        <f>SUM(B82:K82)</f>
        <v>35927613.450000003</v>
      </c>
    </row>
    <row r="83" spans="1:12" x14ac:dyDescent="0.35">
      <c r="A83" s="7">
        <v>42644</v>
      </c>
      <c r="B83" s="11">
        <v>7896567.9400000004</v>
      </c>
      <c r="C83" s="9">
        <v>10928550.6</v>
      </c>
      <c r="D83" s="10">
        <v>367385.36</v>
      </c>
      <c r="E83" s="10">
        <v>583912.11</v>
      </c>
      <c r="F83" s="10">
        <v>849169.91</v>
      </c>
      <c r="G83" s="10"/>
      <c r="H83" s="10">
        <v>216.94</v>
      </c>
      <c r="I83" s="10">
        <v>12713.95</v>
      </c>
      <c r="J83" s="10">
        <v>792257.69</v>
      </c>
      <c r="K83" s="10">
        <v>9903165.9100000001</v>
      </c>
      <c r="L83" s="11">
        <f t="shared" ref="L83:L109" si="2">SUM(B83:K83)</f>
        <v>31333940.41</v>
      </c>
    </row>
    <row r="84" spans="1:12" x14ac:dyDescent="0.35">
      <c r="A84" s="7">
        <v>42675</v>
      </c>
      <c r="B84" s="11">
        <v>6943843</v>
      </c>
      <c r="C84" s="9">
        <v>10659420</v>
      </c>
      <c r="D84" s="10">
        <v>274935</v>
      </c>
      <c r="E84" s="10">
        <v>571672</v>
      </c>
      <c r="F84" s="10">
        <v>731380</v>
      </c>
      <c r="G84" s="10">
        <v>57507</v>
      </c>
      <c r="H84" s="10">
        <v>92</v>
      </c>
      <c r="I84" s="10">
        <v>13914</v>
      </c>
      <c r="J84" s="10">
        <v>700846</v>
      </c>
      <c r="K84" s="10">
        <v>8284517</v>
      </c>
      <c r="L84" s="11">
        <f>SUM(B84:K84)</f>
        <v>28238126</v>
      </c>
    </row>
    <row r="85" spans="1:12" ht="15" thickBot="1" x14ac:dyDescent="0.4">
      <c r="A85" s="15">
        <v>42705</v>
      </c>
      <c r="B85" s="54">
        <v>5081182.6500000004</v>
      </c>
      <c r="C85" s="73">
        <v>13404724.710000001</v>
      </c>
      <c r="D85" s="74">
        <v>278022.87</v>
      </c>
      <c r="E85" s="74">
        <v>678197.64</v>
      </c>
      <c r="F85" s="74">
        <v>955011.03</v>
      </c>
      <c r="G85" s="74">
        <v>7293</v>
      </c>
      <c r="H85" s="74">
        <v>1982.57</v>
      </c>
      <c r="I85" s="74">
        <v>12662.03</v>
      </c>
      <c r="J85" s="74">
        <v>722400.8</v>
      </c>
      <c r="K85" s="74">
        <v>11071782.300000001</v>
      </c>
      <c r="L85" s="54">
        <f t="shared" si="2"/>
        <v>32213259.600000005</v>
      </c>
    </row>
    <row r="86" spans="1:12" x14ac:dyDescent="0.35">
      <c r="A86" s="42">
        <v>42736</v>
      </c>
      <c r="B86" s="37">
        <v>6501377.5499999998</v>
      </c>
      <c r="C86" s="44">
        <v>10758676.060000001</v>
      </c>
      <c r="D86" s="45">
        <v>303798.77</v>
      </c>
      <c r="E86" s="45">
        <v>620826.86</v>
      </c>
      <c r="F86" s="45">
        <v>807253.42</v>
      </c>
      <c r="G86" s="45">
        <v>4775.3999999999996</v>
      </c>
      <c r="H86" s="45">
        <v>92.5</v>
      </c>
      <c r="I86" s="45">
        <v>14878.62</v>
      </c>
      <c r="J86" s="45">
        <v>895219.05</v>
      </c>
      <c r="K86" s="45">
        <v>9810404.7899999991</v>
      </c>
      <c r="L86" s="37">
        <f t="shared" si="2"/>
        <v>29717303.02</v>
      </c>
    </row>
    <row r="87" spans="1:12" x14ac:dyDescent="0.35">
      <c r="A87" s="7">
        <v>42767</v>
      </c>
      <c r="B87" s="11">
        <v>6300230.8200000003</v>
      </c>
      <c r="C87" s="9">
        <v>8995171.0600000005</v>
      </c>
      <c r="D87" s="10">
        <v>296511.43</v>
      </c>
      <c r="E87" s="10">
        <v>689458.28</v>
      </c>
      <c r="F87" s="10">
        <v>761139.87</v>
      </c>
      <c r="G87" s="10">
        <v>19429.25</v>
      </c>
      <c r="H87" s="10">
        <v>640.09</v>
      </c>
      <c r="I87" s="10">
        <v>9400</v>
      </c>
      <c r="J87" s="10">
        <v>664585.4</v>
      </c>
      <c r="K87" s="10">
        <v>10458339.76</v>
      </c>
      <c r="L87" s="11">
        <f t="shared" si="2"/>
        <v>28194905.960000001</v>
      </c>
    </row>
    <row r="88" spans="1:12" x14ac:dyDescent="0.35">
      <c r="A88" s="7">
        <v>42795</v>
      </c>
      <c r="B88" s="11">
        <v>7025955.0599999996</v>
      </c>
      <c r="C88" s="9">
        <v>10955930.779999999</v>
      </c>
      <c r="D88" s="10">
        <v>402739.46</v>
      </c>
      <c r="E88" s="10">
        <v>695046.22</v>
      </c>
      <c r="F88" s="10">
        <v>1108128.67</v>
      </c>
      <c r="G88" s="10">
        <v>15862</v>
      </c>
      <c r="H88" s="10">
        <v>403.74</v>
      </c>
      <c r="I88" s="10">
        <v>10129.99</v>
      </c>
      <c r="J88" s="10">
        <v>708708.06</v>
      </c>
      <c r="K88" s="10">
        <v>9923805.8200000003</v>
      </c>
      <c r="L88" s="11">
        <f t="shared" si="2"/>
        <v>30846709.799999993</v>
      </c>
    </row>
    <row r="89" spans="1:12" x14ac:dyDescent="0.35">
      <c r="A89" s="7">
        <v>42826</v>
      </c>
      <c r="B89" s="11">
        <v>6635027.8200000003</v>
      </c>
      <c r="C89" s="9">
        <v>10604089.07</v>
      </c>
      <c r="D89" s="10">
        <v>323492.53000000003</v>
      </c>
      <c r="E89" s="10">
        <v>619855.31999999995</v>
      </c>
      <c r="F89" s="10">
        <v>761411.96</v>
      </c>
      <c r="G89" s="10">
        <v>15160.84</v>
      </c>
      <c r="H89" s="10">
        <v>553.47</v>
      </c>
      <c r="I89" s="10"/>
      <c r="J89" s="10">
        <v>731085.45</v>
      </c>
      <c r="K89" s="10">
        <v>8518850.5299999993</v>
      </c>
      <c r="L89" s="11">
        <f t="shared" si="2"/>
        <v>28209526.990000002</v>
      </c>
    </row>
    <row r="90" spans="1:12" x14ac:dyDescent="0.35">
      <c r="A90" s="7">
        <v>42856</v>
      </c>
      <c r="B90" s="11">
        <v>6179195.3300000001</v>
      </c>
      <c r="C90" s="9">
        <v>11839575.119999999</v>
      </c>
      <c r="D90" s="10">
        <v>259390.6</v>
      </c>
      <c r="E90" s="10">
        <v>675463.01</v>
      </c>
      <c r="F90" s="10">
        <v>720668.38</v>
      </c>
      <c r="G90" s="10">
        <v>9034</v>
      </c>
      <c r="H90" s="10">
        <v>775.65</v>
      </c>
      <c r="I90" s="10"/>
      <c r="J90" s="10">
        <v>886281.35</v>
      </c>
      <c r="K90" s="10">
        <v>8623980.5399999991</v>
      </c>
      <c r="L90" s="11">
        <f t="shared" si="2"/>
        <v>29194363.98</v>
      </c>
    </row>
    <row r="91" spans="1:12" x14ac:dyDescent="0.35">
      <c r="A91" s="7">
        <v>42887</v>
      </c>
      <c r="B91" s="11">
        <v>6212451</v>
      </c>
      <c r="C91" s="9">
        <v>10389693</v>
      </c>
      <c r="D91" s="10">
        <v>347307</v>
      </c>
      <c r="E91" s="10">
        <v>616026</v>
      </c>
      <c r="F91" s="10">
        <v>846550</v>
      </c>
      <c r="G91" s="10">
        <v>9038</v>
      </c>
      <c r="H91" s="10">
        <v>662</v>
      </c>
      <c r="I91" s="10"/>
      <c r="J91" s="10">
        <v>1083183</v>
      </c>
      <c r="K91" s="10">
        <v>9416847</v>
      </c>
      <c r="L91" s="11">
        <f t="shared" si="2"/>
        <v>28921757</v>
      </c>
    </row>
    <row r="92" spans="1:12" x14ac:dyDescent="0.35">
      <c r="A92" s="7">
        <v>42917</v>
      </c>
      <c r="B92" s="11">
        <v>5444039</v>
      </c>
      <c r="C92" s="9">
        <v>9895044</v>
      </c>
      <c r="D92" s="10">
        <v>329102</v>
      </c>
      <c r="E92" s="10">
        <v>540748</v>
      </c>
      <c r="F92" s="10">
        <v>774755</v>
      </c>
      <c r="G92" s="10">
        <v>14199</v>
      </c>
      <c r="H92" s="10">
        <v>1939</v>
      </c>
      <c r="I92" s="10"/>
      <c r="J92" s="10">
        <v>903411</v>
      </c>
      <c r="K92" s="10">
        <v>9553944</v>
      </c>
      <c r="L92" s="11">
        <f t="shared" si="2"/>
        <v>27457181</v>
      </c>
    </row>
    <row r="93" spans="1:12" x14ac:dyDescent="0.35">
      <c r="A93" s="7">
        <v>42948</v>
      </c>
      <c r="B93" s="11">
        <v>4391765</v>
      </c>
      <c r="C93" s="9">
        <v>10464104</v>
      </c>
      <c r="D93" s="10">
        <v>162995</v>
      </c>
      <c r="E93" s="10">
        <v>584680</v>
      </c>
      <c r="F93" s="10">
        <v>875784</v>
      </c>
      <c r="G93" s="10">
        <v>44835</v>
      </c>
      <c r="H93" s="10">
        <v>2196</v>
      </c>
      <c r="I93" s="10"/>
      <c r="J93" s="10">
        <v>732328</v>
      </c>
      <c r="K93" s="10">
        <v>9265421</v>
      </c>
      <c r="L93" s="11">
        <f t="shared" si="2"/>
        <v>26524108</v>
      </c>
    </row>
    <row r="94" spans="1:12" x14ac:dyDescent="0.35">
      <c r="A94" s="7">
        <v>42979</v>
      </c>
      <c r="B94" s="11">
        <v>5667094</v>
      </c>
      <c r="C94" s="9">
        <v>11085903</v>
      </c>
      <c r="D94" s="10">
        <v>230412</v>
      </c>
      <c r="E94" s="10">
        <v>544191</v>
      </c>
      <c r="F94" s="10">
        <v>787793</v>
      </c>
      <c r="G94" s="10">
        <v>25668</v>
      </c>
      <c r="H94" s="10">
        <v>2245</v>
      </c>
      <c r="I94" s="10"/>
      <c r="J94" s="10">
        <v>998401</v>
      </c>
      <c r="K94" s="10">
        <v>7785372</v>
      </c>
      <c r="L94" s="11">
        <f t="shared" si="2"/>
        <v>27127079</v>
      </c>
    </row>
    <row r="95" spans="1:12" x14ac:dyDescent="0.35">
      <c r="A95" s="7">
        <v>43009</v>
      </c>
      <c r="B95" s="11">
        <v>5117334</v>
      </c>
      <c r="C95" s="9">
        <v>12510697</v>
      </c>
      <c r="D95" s="10">
        <v>197311</v>
      </c>
      <c r="E95" s="10">
        <v>574983</v>
      </c>
      <c r="F95" s="10">
        <v>829123</v>
      </c>
      <c r="G95" s="10">
        <v>21304</v>
      </c>
      <c r="H95" s="10">
        <v>5578</v>
      </c>
      <c r="I95" s="10"/>
      <c r="J95" s="10">
        <v>730010</v>
      </c>
      <c r="K95" s="10">
        <v>6549488</v>
      </c>
      <c r="L95" s="11">
        <f t="shared" si="2"/>
        <v>26535828</v>
      </c>
    </row>
    <row r="96" spans="1:12" x14ac:dyDescent="0.35">
      <c r="A96" s="7">
        <v>43040</v>
      </c>
      <c r="B96" s="11">
        <v>4545163</v>
      </c>
      <c r="C96" s="9">
        <v>9953243</v>
      </c>
      <c r="D96" s="10">
        <v>323237</v>
      </c>
      <c r="E96" s="10">
        <v>609583</v>
      </c>
      <c r="F96" s="10">
        <v>737750</v>
      </c>
      <c r="G96" s="10">
        <v>7692</v>
      </c>
      <c r="H96" s="10">
        <v>7872</v>
      </c>
      <c r="I96" s="10"/>
      <c r="J96" s="10">
        <v>1022126</v>
      </c>
      <c r="K96" s="10">
        <v>6694284</v>
      </c>
      <c r="L96" s="11">
        <f t="shared" si="2"/>
        <v>23900950</v>
      </c>
    </row>
    <row r="97" spans="1:12" ht="15" thickBot="1" x14ac:dyDescent="0.4">
      <c r="A97" s="55">
        <v>43070</v>
      </c>
      <c r="B97" s="67">
        <v>3711667.68</v>
      </c>
      <c r="C97" s="68">
        <v>11449440.73</v>
      </c>
      <c r="D97" s="69">
        <v>298132.06</v>
      </c>
      <c r="E97" s="69">
        <v>607668.63</v>
      </c>
      <c r="F97" s="69">
        <v>805785.12</v>
      </c>
      <c r="G97" s="69">
        <v>7197.01</v>
      </c>
      <c r="H97" s="69">
        <v>3766.93</v>
      </c>
      <c r="I97" s="69"/>
      <c r="J97" s="69">
        <v>945746.37</v>
      </c>
      <c r="K97" s="69">
        <v>8111247.8399999999</v>
      </c>
      <c r="L97" s="67">
        <f t="shared" si="2"/>
        <v>25940652.370000005</v>
      </c>
    </row>
    <row r="98" spans="1:12" x14ac:dyDescent="0.35">
      <c r="A98" s="53">
        <v>43101</v>
      </c>
      <c r="B98" s="70">
        <v>4065283.72</v>
      </c>
      <c r="C98" s="71">
        <v>9984796.7200000007</v>
      </c>
      <c r="D98" s="72">
        <v>279984.95</v>
      </c>
      <c r="E98" s="72">
        <v>560845.32999999996</v>
      </c>
      <c r="F98" s="72">
        <v>773058.04</v>
      </c>
      <c r="G98" s="72">
        <v>5004.1000000000004</v>
      </c>
      <c r="H98" s="72">
        <v>8971.09</v>
      </c>
      <c r="I98" s="72"/>
      <c r="J98" s="72">
        <v>875245.85</v>
      </c>
      <c r="K98" s="72">
        <v>7194170.6699999999</v>
      </c>
      <c r="L98" s="70">
        <f t="shared" si="2"/>
        <v>23747360.469999999</v>
      </c>
    </row>
    <row r="99" spans="1:12" x14ac:dyDescent="0.35">
      <c r="A99" s="7">
        <v>43132</v>
      </c>
      <c r="B99" s="11">
        <v>4724915.49</v>
      </c>
      <c r="C99" s="9">
        <v>9395744.9900000002</v>
      </c>
      <c r="D99" s="10">
        <v>372952.4</v>
      </c>
      <c r="E99" s="10">
        <v>528463.1</v>
      </c>
      <c r="F99" s="10">
        <v>640663.26</v>
      </c>
      <c r="G99" s="10">
        <v>45201.4</v>
      </c>
      <c r="H99" s="10">
        <v>1872.7</v>
      </c>
      <c r="I99" s="10"/>
      <c r="J99" s="10">
        <v>1120510.81</v>
      </c>
      <c r="K99" s="10">
        <v>6845228.4400000004</v>
      </c>
      <c r="L99" s="11">
        <f t="shared" si="2"/>
        <v>23675552.59</v>
      </c>
    </row>
    <row r="100" spans="1:12" x14ac:dyDescent="0.35">
      <c r="A100" s="7">
        <v>43160</v>
      </c>
      <c r="B100" s="11">
        <v>5732270.1600000001</v>
      </c>
      <c r="C100" s="9">
        <v>11275932.949999999</v>
      </c>
      <c r="D100" s="10">
        <v>492322.4</v>
      </c>
      <c r="E100" s="10">
        <v>690872.58</v>
      </c>
      <c r="F100" s="10">
        <v>974827.39</v>
      </c>
      <c r="G100" s="10">
        <v>17719.22</v>
      </c>
      <c r="H100" s="10">
        <v>1889.72</v>
      </c>
      <c r="I100" s="10"/>
      <c r="J100" s="10">
        <v>1128316.27</v>
      </c>
      <c r="K100" s="10">
        <v>5237685.5999999996</v>
      </c>
      <c r="L100" s="11">
        <f t="shared" si="2"/>
        <v>25551836.289999992</v>
      </c>
    </row>
    <row r="101" spans="1:12" x14ac:dyDescent="0.35">
      <c r="A101" s="7">
        <v>43191</v>
      </c>
      <c r="B101" s="11">
        <v>5129546.43</v>
      </c>
      <c r="C101" s="9">
        <v>11022744.720000001</v>
      </c>
      <c r="D101" s="10">
        <v>419892.94</v>
      </c>
      <c r="E101" s="10">
        <v>563672.56999999995</v>
      </c>
      <c r="F101" s="10">
        <v>750847.3</v>
      </c>
      <c r="G101" s="10">
        <v>64249.68</v>
      </c>
      <c r="H101" s="10">
        <v>4968.16</v>
      </c>
      <c r="I101" s="10"/>
      <c r="J101" s="10">
        <v>796596.96</v>
      </c>
      <c r="K101" s="10">
        <v>8084514.6600000001</v>
      </c>
      <c r="L101" s="11">
        <f t="shared" si="2"/>
        <v>26837033.420000002</v>
      </c>
    </row>
    <row r="102" spans="1:12" x14ac:dyDescent="0.35">
      <c r="A102" s="7">
        <v>43221</v>
      </c>
      <c r="B102" s="11">
        <v>5380319.4100000001</v>
      </c>
      <c r="C102" s="9">
        <v>11001381.17</v>
      </c>
      <c r="D102" s="10">
        <v>459065.76</v>
      </c>
      <c r="E102" s="10">
        <v>622401.91</v>
      </c>
      <c r="F102" s="10">
        <v>779811.66</v>
      </c>
      <c r="G102" s="10">
        <v>31116.16</v>
      </c>
      <c r="H102" s="10">
        <v>2039.87</v>
      </c>
      <c r="I102" s="10"/>
      <c r="J102" s="10">
        <v>-1609966.16</v>
      </c>
      <c r="K102" s="10">
        <v>7923212.4000000004</v>
      </c>
      <c r="L102" s="11">
        <v>24589382.18</v>
      </c>
    </row>
    <row r="103" spans="1:12" x14ac:dyDescent="0.35">
      <c r="A103" s="7">
        <v>43252</v>
      </c>
      <c r="B103" s="11">
        <v>5031989.5599999996</v>
      </c>
      <c r="C103" s="9">
        <v>12331803.83</v>
      </c>
      <c r="D103" s="10">
        <v>473956.54</v>
      </c>
      <c r="E103" s="10">
        <v>604399.93000000005</v>
      </c>
      <c r="F103" s="10">
        <v>611106.68999999994</v>
      </c>
      <c r="G103" s="10">
        <v>7896.85</v>
      </c>
      <c r="H103" s="10">
        <v>5134.58</v>
      </c>
      <c r="I103" s="10"/>
      <c r="J103" s="10">
        <v>905537.6</v>
      </c>
      <c r="K103" s="10">
        <v>12717212.18</v>
      </c>
      <c r="L103" s="11">
        <f t="shared" si="2"/>
        <v>32689037.760000002</v>
      </c>
    </row>
    <row r="104" spans="1:12" x14ac:dyDescent="0.35">
      <c r="A104" s="7">
        <v>43282</v>
      </c>
      <c r="B104" s="11">
        <v>4575575.9000000004</v>
      </c>
      <c r="C104" s="9">
        <v>11195159.75</v>
      </c>
      <c r="D104" s="10">
        <v>569425.43000000005</v>
      </c>
      <c r="E104" s="10">
        <v>523724.14</v>
      </c>
      <c r="F104" s="10">
        <v>820007.8</v>
      </c>
      <c r="G104" s="10">
        <v>10494.09</v>
      </c>
      <c r="H104" s="10">
        <v>3791.67</v>
      </c>
      <c r="I104" s="10"/>
      <c r="J104" s="10">
        <v>983454.85</v>
      </c>
      <c r="K104" s="10">
        <v>11236321.59</v>
      </c>
      <c r="L104" s="11">
        <f t="shared" si="2"/>
        <v>29917955.220000003</v>
      </c>
    </row>
    <row r="105" spans="1:12" x14ac:dyDescent="0.35">
      <c r="A105" s="7">
        <v>43313</v>
      </c>
      <c r="B105" s="11">
        <v>4188765.63</v>
      </c>
      <c r="C105" s="9">
        <v>10269482.119999999</v>
      </c>
      <c r="D105" s="10">
        <v>661643.13</v>
      </c>
      <c r="E105" s="10">
        <v>563909</v>
      </c>
      <c r="F105" s="10">
        <v>826780.52</v>
      </c>
      <c r="G105" s="10">
        <v>10455</v>
      </c>
      <c r="H105" s="10">
        <v>4147.55</v>
      </c>
      <c r="I105" s="10"/>
      <c r="J105" s="10">
        <v>1048694</v>
      </c>
      <c r="K105" s="10">
        <v>8347803.21</v>
      </c>
      <c r="L105" s="11">
        <v>25921680.160000004</v>
      </c>
    </row>
    <row r="106" spans="1:12" x14ac:dyDescent="0.35">
      <c r="A106" s="7">
        <v>43344</v>
      </c>
      <c r="B106" s="11">
        <v>4095621.25</v>
      </c>
      <c r="C106" s="9">
        <v>11308597.41</v>
      </c>
      <c r="D106" s="10">
        <v>607890.18000000005</v>
      </c>
      <c r="E106" s="10">
        <v>494537.53</v>
      </c>
      <c r="F106" s="10">
        <v>913092.61</v>
      </c>
      <c r="G106" s="10">
        <v>8090.22</v>
      </c>
      <c r="H106" s="10">
        <v>3709.69</v>
      </c>
      <c r="I106" s="10"/>
      <c r="J106" s="10">
        <v>787275.61</v>
      </c>
      <c r="K106" s="10">
        <v>8125046.3899999997</v>
      </c>
      <c r="L106" s="11">
        <f t="shared" si="2"/>
        <v>26343860.890000001</v>
      </c>
    </row>
    <row r="107" spans="1:12" x14ac:dyDescent="0.35">
      <c r="A107" s="7">
        <v>43374</v>
      </c>
      <c r="B107" s="11">
        <v>5225063.6500000004</v>
      </c>
      <c r="C107" s="9">
        <v>10883215.710000001</v>
      </c>
      <c r="D107" s="10">
        <v>515437.81</v>
      </c>
      <c r="E107" s="10">
        <v>619873.41</v>
      </c>
      <c r="F107" s="10">
        <v>845623.83</v>
      </c>
      <c r="G107" s="10">
        <v>38564.31</v>
      </c>
      <c r="H107" s="10">
        <v>17085.25</v>
      </c>
      <c r="I107" s="10"/>
      <c r="J107" s="10">
        <v>1344030.12</v>
      </c>
      <c r="K107" s="10">
        <v>7135098.8399999999</v>
      </c>
      <c r="L107" s="11">
        <f t="shared" si="2"/>
        <v>26623992.93</v>
      </c>
    </row>
    <row r="108" spans="1:12" x14ac:dyDescent="0.35">
      <c r="A108" s="7">
        <v>43405</v>
      </c>
      <c r="B108" s="11">
        <v>4829981.4800000004</v>
      </c>
      <c r="C108" s="9">
        <v>11042811.6</v>
      </c>
      <c r="D108" s="10">
        <v>584478.69999999995</v>
      </c>
      <c r="E108" s="10">
        <v>576935.93000000005</v>
      </c>
      <c r="F108" s="10">
        <v>853403.91</v>
      </c>
      <c r="G108" s="10">
        <v>1985.25</v>
      </c>
      <c r="H108" s="10">
        <v>24042.52</v>
      </c>
      <c r="I108" s="10"/>
      <c r="J108" s="10">
        <v>-1146205.19</v>
      </c>
      <c r="K108" s="10">
        <v>8099702.3200000003</v>
      </c>
      <c r="L108" s="11">
        <f t="shared" si="2"/>
        <v>24867136.520000003</v>
      </c>
    </row>
    <row r="109" spans="1:12" ht="15" thickBot="1" x14ac:dyDescent="0.4">
      <c r="A109" s="15">
        <v>43435</v>
      </c>
      <c r="B109" s="54">
        <v>5101927.2300000004</v>
      </c>
      <c r="C109" s="73">
        <v>11775635.720000001</v>
      </c>
      <c r="D109" s="74">
        <v>738846.77</v>
      </c>
      <c r="E109" s="74">
        <v>583815.4</v>
      </c>
      <c r="F109" s="74">
        <v>691153.58</v>
      </c>
      <c r="G109" s="74">
        <v>11849.47</v>
      </c>
      <c r="H109" s="74">
        <v>22854.02</v>
      </c>
      <c r="I109" s="74"/>
      <c r="J109" s="74">
        <v>721328.62</v>
      </c>
      <c r="K109" s="74">
        <v>9359632.4800000004</v>
      </c>
      <c r="L109" s="67">
        <f t="shared" si="2"/>
        <v>29007043.289999999</v>
      </c>
    </row>
    <row r="110" spans="1:12" x14ac:dyDescent="0.35">
      <c r="A110" s="42">
        <v>43484</v>
      </c>
      <c r="B110" s="37">
        <v>4336601.91</v>
      </c>
      <c r="C110" s="44">
        <v>10994245.039999999</v>
      </c>
      <c r="D110" s="45">
        <v>733713.54</v>
      </c>
      <c r="E110" s="45">
        <v>581668.56000000006</v>
      </c>
      <c r="F110" s="45">
        <v>879309.32</v>
      </c>
      <c r="G110" s="45">
        <v>3434.61</v>
      </c>
      <c r="H110" s="45">
        <v>310603.02</v>
      </c>
      <c r="I110" s="45"/>
      <c r="J110" s="45">
        <v>747138.19</v>
      </c>
      <c r="K110" s="117">
        <v>10218148.810000001</v>
      </c>
      <c r="L110" s="70">
        <f>SUM(B110:K110)</f>
        <v>28804863</v>
      </c>
    </row>
    <row r="111" spans="1:12" x14ac:dyDescent="0.35">
      <c r="A111" s="7">
        <v>43515</v>
      </c>
      <c r="B111" s="11">
        <v>4818099.1100000003</v>
      </c>
      <c r="C111" s="9">
        <v>10871485.289999999</v>
      </c>
      <c r="D111" s="10">
        <v>615646.62</v>
      </c>
      <c r="E111" s="10">
        <v>617502.05000000005</v>
      </c>
      <c r="F111" s="10">
        <v>670030.51</v>
      </c>
      <c r="G111" s="10">
        <v>8024.21</v>
      </c>
      <c r="H111" s="10">
        <v>13273.79</v>
      </c>
      <c r="I111" s="10"/>
      <c r="J111" s="10">
        <v>679375.35999999999</v>
      </c>
      <c r="K111" s="108">
        <v>7737935.1399999997</v>
      </c>
      <c r="L111" s="43">
        <v>26031372.079999998</v>
      </c>
    </row>
    <row r="112" spans="1:12" x14ac:dyDescent="0.35">
      <c r="A112" s="7">
        <v>43543</v>
      </c>
      <c r="B112" s="11">
        <v>6066561.5499999998</v>
      </c>
      <c r="C112" s="9">
        <v>11237978.109999999</v>
      </c>
      <c r="D112" s="10">
        <v>652698.32999999996</v>
      </c>
      <c r="E112" s="10">
        <v>597087.06999999995</v>
      </c>
      <c r="F112" s="10">
        <v>1166536.18</v>
      </c>
      <c r="G112" s="10">
        <v>152868.12</v>
      </c>
      <c r="H112" s="10">
        <v>15200.41</v>
      </c>
      <c r="I112" s="10"/>
      <c r="J112" s="10">
        <v>1093689.92</v>
      </c>
      <c r="K112" s="108">
        <v>9646808.0099999998</v>
      </c>
      <c r="L112" s="43">
        <v>30629427.699999996</v>
      </c>
    </row>
    <row r="113" spans="1:12" x14ac:dyDescent="0.35">
      <c r="A113" s="7">
        <v>43574</v>
      </c>
      <c r="B113" s="100">
        <v>5502725.1100000003</v>
      </c>
      <c r="C113" s="100">
        <v>10673394.779999999</v>
      </c>
      <c r="D113" s="100">
        <v>578161.02</v>
      </c>
      <c r="E113" s="100">
        <v>596011.77</v>
      </c>
      <c r="F113" s="100">
        <v>839201.35</v>
      </c>
      <c r="G113" s="100">
        <v>72593.460000000006</v>
      </c>
      <c r="H113" s="100">
        <v>13417.98</v>
      </c>
      <c r="I113" s="100"/>
      <c r="J113" s="100">
        <v>1015333.85</v>
      </c>
      <c r="K113" s="100">
        <v>10377488.02</v>
      </c>
      <c r="L113" s="8">
        <f t="shared" ref="L113:L124" si="3">SUM(B113:K113)</f>
        <v>29668327.340000004</v>
      </c>
    </row>
    <row r="114" spans="1:12" x14ac:dyDescent="0.35">
      <c r="A114" s="7">
        <v>43604</v>
      </c>
      <c r="B114" s="11">
        <v>4574520.58</v>
      </c>
      <c r="C114" s="9">
        <v>10989291.529999999</v>
      </c>
      <c r="D114" s="10">
        <v>631812.64</v>
      </c>
      <c r="E114" s="10">
        <v>638317.92000000004</v>
      </c>
      <c r="F114" s="10">
        <v>830041.76</v>
      </c>
      <c r="G114" s="10">
        <v>42696.41</v>
      </c>
      <c r="H114" s="10">
        <v>13919.95</v>
      </c>
      <c r="I114" s="10"/>
      <c r="J114" s="10">
        <v>1086564.4099999999</v>
      </c>
      <c r="K114" s="108">
        <v>10843996.35</v>
      </c>
      <c r="L114" s="43">
        <f t="shared" si="3"/>
        <v>29651161.550000004</v>
      </c>
    </row>
    <row r="115" spans="1:12" x14ac:dyDescent="0.35">
      <c r="A115" s="7">
        <v>43635</v>
      </c>
      <c r="B115" s="100">
        <v>4410965</v>
      </c>
      <c r="C115" s="100">
        <v>11705483.050000001</v>
      </c>
      <c r="D115" s="100">
        <v>588497.27</v>
      </c>
      <c r="E115" s="100">
        <v>556734.30000000005</v>
      </c>
      <c r="F115" s="100">
        <v>756627.73</v>
      </c>
      <c r="G115" s="100">
        <v>39398.94</v>
      </c>
      <c r="H115" s="100">
        <v>54893.3</v>
      </c>
      <c r="I115" s="100"/>
      <c r="J115" s="100">
        <v>895640.27</v>
      </c>
      <c r="K115" s="100">
        <v>11671922.710000001</v>
      </c>
      <c r="L115" s="8">
        <f t="shared" si="3"/>
        <v>30680162.570000004</v>
      </c>
    </row>
    <row r="116" spans="1:12" x14ac:dyDescent="0.35">
      <c r="A116" s="7">
        <v>43665</v>
      </c>
      <c r="B116" s="11">
        <v>5510027.0099999998</v>
      </c>
      <c r="C116" s="9">
        <v>12332985.380000001</v>
      </c>
      <c r="D116" s="10">
        <v>523173.78</v>
      </c>
      <c r="E116" s="10">
        <v>538143.5</v>
      </c>
      <c r="F116" s="10">
        <v>882258.48</v>
      </c>
      <c r="G116" s="10">
        <v>7829.62</v>
      </c>
      <c r="H116" s="10">
        <v>9230.06</v>
      </c>
      <c r="I116" s="10"/>
      <c r="J116" s="10">
        <v>-2316688.41</v>
      </c>
      <c r="K116" s="108">
        <v>11813680.58</v>
      </c>
      <c r="L116" s="43">
        <f t="shared" si="3"/>
        <v>29300640</v>
      </c>
    </row>
    <row r="117" spans="1:12" x14ac:dyDescent="0.35">
      <c r="A117" s="7">
        <v>43696</v>
      </c>
      <c r="B117" s="100">
        <v>4375178.6100000003</v>
      </c>
      <c r="C117" s="100">
        <v>10878193.15</v>
      </c>
      <c r="D117" s="100">
        <v>576417.56000000006</v>
      </c>
      <c r="E117" s="100">
        <v>583491.64</v>
      </c>
      <c r="F117" s="100">
        <v>898833.13</v>
      </c>
      <c r="G117" s="100">
        <v>36668.04</v>
      </c>
      <c r="H117" s="100">
        <v>18730.73</v>
      </c>
      <c r="I117" s="100"/>
      <c r="J117" s="100">
        <v>-2331823.2799999998</v>
      </c>
      <c r="K117" s="100">
        <v>11263311.48</v>
      </c>
      <c r="L117" s="8">
        <f t="shared" si="3"/>
        <v>26299001.060000002</v>
      </c>
    </row>
    <row r="118" spans="1:12" x14ac:dyDescent="0.35">
      <c r="A118" s="7">
        <v>43727</v>
      </c>
      <c r="B118" s="11">
        <v>3899650.2</v>
      </c>
      <c r="C118" s="9">
        <v>10439131.74</v>
      </c>
      <c r="D118" s="10">
        <v>407589.8</v>
      </c>
      <c r="E118" s="10">
        <v>523263.01</v>
      </c>
      <c r="F118" s="10">
        <v>1062447.79</v>
      </c>
      <c r="G118" s="10">
        <v>4501.13</v>
      </c>
      <c r="H118" s="10">
        <v>18759.79</v>
      </c>
      <c r="I118" s="10"/>
      <c r="J118" s="10">
        <v>837840.68</v>
      </c>
      <c r="K118" s="108">
        <v>11263126.699999999</v>
      </c>
      <c r="L118" s="43">
        <f t="shared" si="3"/>
        <v>28456310.840000004</v>
      </c>
    </row>
    <row r="119" spans="1:12" x14ac:dyDescent="0.35">
      <c r="A119" s="7">
        <v>43757</v>
      </c>
      <c r="B119" s="11">
        <v>4256425.38</v>
      </c>
      <c r="C119" s="9">
        <v>12708002.98</v>
      </c>
      <c r="D119" s="10">
        <v>353239.28</v>
      </c>
      <c r="E119" s="10">
        <v>508911.48</v>
      </c>
      <c r="F119" s="10">
        <v>681678.12</v>
      </c>
      <c r="G119" s="10">
        <v>59030</v>
      </c>
      <c r="H119" s="10">
        <v>23750.52</v>
      </c>
      <c r="I119" s="10"/>
      <c r="J119" s="10">
        <v>921447.66</v>
      </c>
      <c r="K119" s="108">
        <v>10471461.77</v>
      </c>
      <c r="L119" s="43">
        <f t="shared" si="3"/>
        <v>29983947.190000001</v>
      </c>
    </row>
    <row r="120" spans="1:12" x14ac:dyDescent="0.35">
      <c r="A120" s="7">
        <v>43788</v>
      </c>
      <c r="B120" s="11">
        <v>4289911.08</v>
      </c>
      <c r="C120" s="9">
        <v>12558927.369999999</v>
      </c>
      <c r="D120" s="10">
        <v>442555.24</v>
      </c>
      <c r="E120" s="10">
        <v>592991.38</v>
      </c>
      <c r="F120" s="10">
        <v>794481.09</v>
      </c>
      <c r="G120" s="10">
        <v>7056.38</v>
      </c>
      <c r="H120" s="10">
        <v>25252.35</v>
      </c>
      <c r="I120" s="10"/>
      <c r="J120" s="10">
        <v>711044.39</v>
      </c>
      <c r="K120" s="108">
        <v>10497496.15</v>
      </c>
      <c r="L120" s="43">
        <f t="shared" si="3"/>
        <v>29919715.43</v>
      </c>
    </row>
    <row r="121" spans="1:12" ht="15" thickBot="1" x14ac:dyDescent="0.4">
      <c r="A121" s="15">
        <v>43818</v>
      </c>
      <c r="B121" s="54">
        <v>3165603.16</v>
      </c>
      <c r="C121" s="73">
        <v>12598422.060000001</v>
      </c>
      <c r="D121" s="74">
        <v>534677.36</v>
      </c>
      <c r="E121" s="74">
        <v>573481.47</v>
      </c>
      <c r="F121" s="74">
        <v>1043280.24</v>
      </c>
      <c r="G121" s="74">
        <v>11245.07</v>
      </c>
      <c r="H121" s="74">
        <v>11448.68</v>
      </c>
      <c r="I121" s="74"/>
      <c r="J121" s="74">
        <v>2210324.16</v>
      </c>
      <c r="K121" s="109">
        <v>11287069.060000001</v>
      </c>
      <c r="L121" s="118">
        <f t="shared" si="3"/>
        <v>31435551.259999998</v>
      </c>
    </row>
    <row r="122" spans="1:12" x14ac:dyDescent="0.35">
      <c r="A122" s="53">
        <v>43849</v>
      </c>
      <c r="B122" s="132">
        <v>3499076.25</v>
      </c>
      <c r="C122" s="132">
        <v>11477839.550000001</v>
      </c>
      <c r="D122" s="132">
        <v>539645.84</v>
      </c>
      <c r="E122" s="132">
        <v>523232.89</v>
      </c>
      <c r="F122" s="132">
        <v>763020.96</v>
      </c>
      <c r="G122" s="132">
        <v>93483.13</v>
      </c>
      <c r="H122" s="132">
        <v>27515.59</v>
      </c>
      <c r="I122" s="132"/>
      <c r="J122" s="132">
        <v>-2840159.93</v>
      </c>
      <c r="K122" s="132">
        <v>12313581.039999999</v>
      </c>
      <c r="L122" s="52">
        <f t="shared" si="3"/>
        <v>26397235.32</v>
      </c>
    </row>
    <row r="123" spans="1:12" x14ac:dyDescent="0.35">
      <c r="A123" s="7">
        <v>43880</v>
      </c>
      <c r="B123" s="11">
        <v>4448923.55</v>
      </c>
      <c r="C123" s="11">
        <v>10564670.85</v>
      </c>
      <c r="D123" s="11">
        <v>465487.07</v>
      </c>
      <c r="E123" s="11">
        <v>462477.29</v>
      </c>
      <c r="F123" s="11">
        <v>753838.72</v>
      </c>
      <c r="G123" s="11">
        <v>364838.8</v>
      </c>
      <c r="H123" s="11">
        <v>16224.99</v>
      </c>
      <c r="I123" s="11"/>
      <c r="J123" s="11">
        <v>-1626400.01</v>
      </c>
      <c r="K123" s="11">
        <v>9818099.4499999993</v>
      </c>
      <c r="L123" s="8">
        <f t="shared" si="3"/>
        <v>25268160.709999993</v>
      </c>
    </row>
    <row r="124" spans="1:12" x14ac:dyDescent="0.35">
      <c r="A124" s="7">
        <v>43909</v>
      </c>
      <c r="B124" s="11">
        <v>2570957.44</v>
      </c>
      <c r="C124" s="11">
        <v>10797890.68</v>
      </c>
      <c r="D124" s="11">
        <v>246048.75</v>
      </c>
      <c r="E124" s="11">
        <v>422317.73</v>
      </c>
      <c r="F124" s="11">
        <v>785431.1</v>
      </c>
      <c r="G124" s="11">
        <v>6079.06</v>
      </c>
      <c r="H124" s="11">
        <v>34490.86</v>
      </c>
      <c r="I124" s="11"/>
      <c r="J124" s="11">
        <v>212525.33</v>
      </c>
      <c r="K124" s="11">
        <v>10375337.73</v>
      </c>
      <c r="L124" s="8">
        <f t="shared" si="3"/>
        <v>25451078.68</v>
      </c>
    </row>
    <row r="125" spans="1:12" x14ac:dyDescent="0.35">
      <c r="A125" s="7">
        <v>43940</v>
      </c>
      <c r="B125" s="11">
        <v>1731858.5</v>
      </c>
      <c r="C125" s="11">
        <v>8860619.5899999999</v>
      </c>
      <c r="D125" s="11">
        <v>2167.81</v>
      </c>
      <c r="E125" s="11">
        <v>162115.79</v>
      </c>
      <c r="F125" s="11">
        <v>460175.06</v>
      </c>
      <c r="G125" s="11">
        <v>1129.6400000000001</v>
      </c>
      <c r="H125" s="11">
        <v>13655.74</v>
      </c>
      <c r="I125" s="11"/>
      <c r="J125" s="11">
        <v>2226353.42</v>
      </c>
      <c r="K125" s="11">
        <v>8769644.2699999996</v>
      </c>
      <c r="L125" s="8">
        <f t="shared" ref="L125:L145" si="4">SUM(B125:K125)</f>
        <v>22227719.82</v>
      </c>
    </row>
    <row r="126" spans="1:12" x14ac:dyDescent="0.35">
      <c r="A126" s="7">
        <v>43970</v>
      </c>
      <c r="B126" s="11">
        <v>1874427.4</v>
      </c>
      <c r="C126" s="11">
        <v>9672497.7799999993</v>
      </c>
      <c r="D126" s="11">
        <v>61006.27</v>
      </c>
      <c r="E126" s="11">
        <v>379986.01</v>
      </c>
      <c r="F126" s="11">
        <v>536593.19999999995</v>
      </c>
      <c r="G126" s="11">
        <v>1913.32</v>
      </c>
      <c r="H126" s="11">
        <v>18355.98</v>
      </c>
      <c r="I126" s="11">
        <v>17.5</v>
      </c>
      <c r="J126" s="11">
        <v>631745.22</v>
      </c>
      <c r="K126" s="11">
        <v>9358448.6400000006</v>
      </c>
      <c r="L126" s="8">
        <f t="shared" si="4"/>
        <v>22534991.32</v>
      </c>
    </row>
    <row r="127" spans="1:12" x14ac:dyDescent="0.35">
      <c r="A127" s="7">
        <v>44001</v>
      </c>
      <c r="B127" s="11">
        <v>3166577.68</v>
      </c>
      <c r="C127" s="11">
        <v>11271139.4</v>
      </c>
      <c r="D127" s="11">
        <v>260152.33</v>
      </c>
      <c r="E127" s="11">
        <v>384798.67</v>
      </c>
      <c r="F127" s="11">
        <v>761352.26</v>
      </c>
      <c r="G127" s="11">
        <v>25412.080000000002</v>
      </c>
      <c r="H127" s="11">
        <v>8227.34</v>
      </c>
      <c r="I127" s="11"/>
      <c r="J127" s="11">
        <v>1801108.76</v>
      </c>
      <c r="K127" s="11">
        <v>9692809.5600000005</v>
      </c>
      <c r="L127" s="8">
        <f t="shared" si="4"/>
        <v>27371578.079999998</v>
      </c>
    </row>
    <row r="128" spans="1:12" x14ac:dyDescent="0.35">
      <c r="A128" s="7">
        <v>44031</v>
      </c>
      <c r="B128" s="11">
        <v>2785786.13</v>
      </c>
      <c r="C128" s="11">
        <v>10521955.800000001</v>
      </c>
      <c r="D128" s="11">
        <v>241412.4</v>
      </c>
      <c r="E128" s="11">
        <v>352062.9</v>
      </c>
      <c r="F128" s="11">
        <v>623424.49</v>
      </c>
      <c r="G128" s="11">
        <v>4532.09</v>
      </c>
      <c r="H128" s="11">
        <v>77823.95</v>
      </c>
      <c r="I128" s="11"/>
      <c r="J128" s="11">
        <v>671861.98</v>
      </c>
      <c r="K128" s="11">
        <v>10725314.02</v>
      </c>
      <c r="L128" s="8">
        <f t="shared" si="4"/>
        <v>26004173.759999998</v>
      </c>
    </row>
    <row r="129" spans="1:12" x14ac:dyDescent="0.35">
      <c r="A129" s="7">
        <v>44062</v>
      </c>
      <c r="B129" s="11">
        <v>3674916.41</v>
      </c>
      <c r="C129" s="11">
        <v>10142177.380000001</v>
      </c>
      <c r="D129" s="11">
        <v>257446.72</v>
      </c>
      <c r="E129" s="11">
        <v>334412.27</v>
      </c>
      <c r="F129" s="11">
        <v>605412.16</v>
      </c>
      <c r="G129" s="11">
        <v>48904.35</v>
      </c>
      <c r="H129" s="11">
        <v>27618.18</v>
      </c>
      <c r="I129" s="11"/>
      <c r="J129" s="11">
        <v>468843.58</v>
      </c>
      <c r="K129" s="11">
        <v>11086391.689999999</v>
      </c>
      <c r="L129" s="8">
        <f t="shared" si="4"/>
        <v>26646122.740000002</v>
      </c>
    </row>
    <row r="130" spans="1:12" x14ac:dyDescent="0.35">
      <c r="A130" s="7">
        <v>44093</v>
      </c>
      <c r="B130" s="11">
        <v>7455683.2000000002</v>
      </c>
      <c r="C130" s="11">
        <v>12350973.220000001</v>
      </c>
      <c r="D130" s="11">
        <v>314370.74</v>
      </c>
      <c r="E130" s="11">
        <v>438052.44</v>
      </c>
      <c r="F130" s="11">
        <v>655243.46</v>
      </c>
      <c r="G130" s="11">
        <v>26721.71</v>
      </c>
      <c r="H130" s="11">
        <v>15684.51</v>
      </c>
      <c r="I130" s="11"/>
      <c r="J130" s="11">
        <v>1063030.57</v>
      </c>
      <c r="K130" s="11">
        <v>11824440.77</v>
      </c>
      <c r="L130" s="8">
        <f t="shared" si="4"/>
        <v>34144200.620000005</v>
      </c>
    </row>
    <row r="131" spans="1:12" x14ac:dyDescent="0.35">
      <c r="A131" s="7">
        <v>44123</v>
      </c>
      <c r="B131" s="11">
        <v>7582268.8300000001</v>
      </c>
      <c r="C131" s="11">
        <v>10874411.470000001</v>
      </c>
      <c r="D131" s="11">
        <v>331725.15000000002</v>
      </c>
      <c r="E131" s="11">
        <v>406188.97</v>
      </c>
      <c r="F131" s="11">
        <v>630463.96</v>
      </c>
      <c r="G131" s="11">
        <v>138118.84</v>
      </c>
      <c r="H131" s="11">
        <v>57545.87</v>
      </c>
      <c r="I131" s="11"/>
      <c r="J131" s="11">
        <v>807679.76</v>
      </c>
      <c r="K131" s="11">
        <v>11270454.560000001</v>
      </c>
      <c r="L131" s="8">
        <f t="shared" si="4"/>
        <v>32098857.410000004</v>
      </c>
    </row>
    <row r="132" spans="1:12" x14ac:dyDescent="0.35">
      <c r="A132" s="7">
        <v>44154</v>
      </c>
      <c r="B132" s="11">
        <v>4241142.07</v>
      </c>
      <c r="C132" s="11">
        <v>10865158.17</v>
      </c>
      <c r="D132" s="11">
        <v>292426.43</v>
      </c>
      <c r="E132" s="11">
        <v>398260.9</v>
      </c>
      <c r="F132" s="11">
        <v>581309.16</v>
      </c>
      <c r="G132" s="11">
        <v>34096.86</v>
      </c>
      <c r="H132" s="11">
        <v>19136.689999999999</v>
      </c>
      <c r="I132" s="11"/>
      <c r="J132" s="11">
        <v>978667.3</v>
      </c>
      <c r="K132" s="11">
        <v>10565500.6</v>
      </c>
      <c r="L132" s="8">
        <f t="shared" si="4"/>
        <v>27975698.18</v>
      </c>
    </row>
    <row r="133" spans="1:12" ht="15" thickBot="1" x14ac:dyDescent="0.4">
      <c r="A133" s="15">
        <v>44184</v>
      </c>
      <c r="B133" s="54">
        <v>3333701.79</v>
      </c>
      <c r="C133" s="54">
        <v>12357480.07</v>
      </c>
      <c r="D133" s="54">
        <v>312805.31</v>
      </c>
      <c r="E133" s="54">
        <v>468323.47</v>
      </c>
      <c r="F133" s="54">
        <v>589024.03</v>
      </c>
      <c r="G133" s="54">
        <v>52829.87</v>
      </c>
      <c r="H133" s="54">
        <v>11173.82</v>
      </c>
      <c r="I133" s="54"/>
      <c r="J133" s="54">
        <v>627458.04</v>
      </c>
      <c r="K133" s="54">
        <v>14685461.380000001</v>
      </c>
      <c r="L133" s="14">
        <f t="shared" si="4"/>
        <v>32438257.780000001</v>
      </c>
    </row>
    <row r="134" spans="1:12" x14ac:dyDescent="0.35">
      <c r="A134" s="53">
        <v>44215</v>
      </c>
      <c r="B134" s="70">
        <v>2953540.08</v>
      </c>
      <c r="C134" s="70">
        <v>9804491.1500000004</v>
      </c>
      <c r="D134" s="70">
        <v>315078.28000000003</v>
      </c>
      <c r="E134" s="70">
        <v>370049.68</v>
      </c>
      <c r="F134" s="70">
        <v>495627.88</v>
      </c>
      <c r="G134" s="70">
        <v>65875.899999999994</v>
      </c>
      <c r="H134" s="70">
        <v>14095.73</v>
      </c>
      <c r="I134" s="70"/>
      <c r="J134" s="70">
        <v>1461681.3</v>
      </c>
      <c r="K134" s="70">
        <v>11711877.85</v>
      </c>
      <c r="L134" s="52">
        <f t="shared" si="4"/>
        <v>27192317.850000001</v>
      </c>
    </row>
    <row r="135" spans="1:12" x14ac:dyDescent="0.35">
      <c r="A135" s="7">
        <v>44246</v>
      </c>
      <c r="B135" s="11">
        <v>3062799.21</v>
      </c>
      <c r="C135" s="11">
        <v>11019434.26</v>
      </c>
      <c r="D135" s="11">
        <v>287622.40999999997</v>
      </c>
      <c r="E135" s="11">
        <v>426564.36</v>
      </c>
      <c r="F135" s="11">
        <v>546692.14</v>
      </c>
      <c r="G135" s="11">
        <v>58401</v>
      </c>
      <c r="H135" s="11">
        <v>26223.71</v>
      </c>
      <c r="I135" s="11"/>
      <c r="J135" s="11">
        <v>847143.31</v>
      </c>
      <c r="K135" s="11">
        <v>9630952.7200000007</v>
      </c>
      <c r="L135" s="8">
        <f t="shared" si="4"/>
        <v>25905833.120000001</v>
      </c>
    </row>
    <row r="136" spans="1:12" x14ac:dyDescent="0.35">
      <c r="A136" s="7">
        <v>44274</v>
      </c>
      <c r="B136" s="11">
        <v>4414074.97</v>
      </c>
      <c r="C136" s="11">
        <v>12967226.26</v>
      </c>
      <c r="D136" s="11">
        <v>514081.21</v>
      </c>
      <c r="E136" s="11">
        <v>468559.13</v>
      </c>
      <c r="F136" s="11">
        <v>698878</v>
      </c>
      <c r="G136" s="11">
        <v>45220.52</v>
      </c>
      <c r="H136" s="11">
        <v>27649.72</v>
      </c>
      <c r="I136" s="11"/>
      <c r="J136" s="11">
        <v>1577791.39</v>
      </c>
      <c r="K136" s="11">
        <v>14159273.460000001</v>
      </c>
      <c r="L136" s="8">
        <f t="shared" si="4"/>
        <v>34872754.659999996</v>
      </c>
    </row>
    <row r="137" spans="1:12" x14ac:dyDescent="0.35">
      <c r="A137" s="7">
        <v>44305</v>
      </c>
      <c r="B137" s="11">
        <v>4062134.37</v>
      </c>
      <c r="C137" s="11">
        <v>10839448.6</v>
      </c>
      <c r="D137" s="11">
        <v>565011.28</v>
      </c>
      <c r="E137" s="11">
        <v>518012.02</v>
      </c>
      <c r="F137" s="11">
        <v>631719.87</v>
      </c>
      <c r="G137" s="11">
        <v>47865.8</v>
      </c>
      <c r="H137" s="11">
        <v>28100.15</v>
      </c>
      <c r="I137" s="11"/>
      <c r="J137" s="11">
        <v>727286.78</v>
      </c>
      <c r="K137" s="11">
        <v>12442836.92</v>
      </c>
      <c r="L137" s="8">
        <f t="shared" si="4"/>
        <v>29862415.789999999</v>
      </c>
    </row>
    <row r="138" spans="1:12" x14ac:dyDescent="0.35">
      <c r="A138" s="7">
        <v>44335</v>
      </c>
      <c r="B138" s="11">
        <v>4482745.2</v>
      </c>
      <c r="C138" s="11">
        <v>11915741.710000001</v>
      </c>
      <c r="D138" s="11">
        <v>596471.04000000004</v>
      </c>
      <c r="E138" s="11">
        <v>523837.85</v>
      </c>
      <c r="F138" s="11">
        <v>645315.46</v>
      </c>
      <c r="G138" s="11">
        <v>59178.9</v>
      </c>
      <c r="H138" s="11">
        <v>18512.04</v>
      </c>
      <c r="I138" s="11"/>
      <c r="J138" s="11">
        <v>1820246.18</v>
      </c>
      <c r="K138" s="11">
        <v>22986122.359999999</v>
      </c>
      <c r="L138" s="8">
        <v>43048170.739999995</v>
      </c>
    </row>
    <row r="139" spans="1:12" x14ac:dyDescent="0.35">
      <c r="A139" s="7">
        <v>44366</v>
      </c>
      <c r="B139" s="11">
        <v>4269615.8899999997</v>
      </c>
      <c r="C139" s="11">
        <v>12931995.1</v>
      </c>
      <c r="D139" s="11">
        <v>636802.82999999996</v>
      </c>
      <c r="E139" s="11">
        <v>501485.66</v>
      </c>
      <c r="F139" s="11">
        <v>663119.15</v>
      </c>
      <c r="G139" s="11">
        <v>67901.06</v>
      </c>
      <c r="H139" s="11">
        <v>13763.28</v>
      </c>
      <c r="I139" s="11"/>
      <c r="J139" s="11">
        <v>1224680.46</v>
      </c>
      <c r="K139" s="11">
        <v>13975085.15</v>
      </c>
      <c r="L139" s="8">
        <f t="shared" si="4"/>
        <v>34284448.579999998</v>
      </c>
    </row>
    <row r="140" spans="1:12" x14ac:dyDescent="0.35">
      <c r="A140" s="7">
        <v>44396</v>
      </c>
      <c r="B140" s="11">
        <v>4747707.04</v>
      </c>
      <c r="C140" s="11">
        <v>12404712.02</v>
      </c>
      <c r="D140" s="11">
        <v>706858.37</v>
      </c>
      <c r="E140" s="11">
        <v>676541.33</v>
      </c>
      <c r="F140" s="11">
        <v>619541.4</v>
      </c>
      <c r="G140" s="11">
        <v>12037.12</v>
      </c>
      <c r="H140" s="11">
        <v>27003.49</v>
      </c>
      <c r="I140" s="11"/>
      <c r="J140" s="11">
        <v>934666.33</v>
      </c>
      <c r="K140" s="11">
        <v>12901708.57</v>
      </c>
      <c r="L140" s="8">
        <f t="shared" si="4"/>
        <v>33030775.669999994</v>
      </c>
    </row>
    <row r="141" spans="1:12" x14ac:dyDescent="0.35">
      <c r="A141" s="7">
        <v>44427</v>
      </c>
      <c r="B141" s="11">
        <v>4444698.1399999997</v>
      </c>
      <c r="C141" s="11">
        <v>12502239.880000001</v>
      </c>
      <c r="D141" s="11">
        <v>451943.16</v>
      </c>
      <c r="E141" s="11">
        <v>436367.22</v>
      </c>
      <c r="F141" s="11">
        <v>652514.86</v>
      </c>
      <c r="G141" s="11">
        <v>7682.4</v>
      </c>
      <c r="H141" s="11">
        <v>31133.99</v>
      </c>
      <c r="I141" s="11"/>
      <c r="J141" s="11">
        <v>1013806.17</v>
      </c>
      <c r="K141" s="11">
        <v>13357558.800000001</v>
      </c>
      <c r="L141" s="8">
        <f t="shared" si="4"/>
        <v>32897944.619999997</v>
      </c>
    </row>
    <row r="142" spans="1:12" x14ac:dyDescent="0.35">
      <c r="A142" s="7">
        <v>44458</v>
      </c>
      <c r="B142" s="11">
        <v>8495198.2599999998</v>
      </c>
      <c r="C142" s="11">
        <v>12730274.57</v>
      </c>
      <c r="D142" s="11">
        <v>467854.62</v>
      </c>
      <c r="E142" s="11">
        <v>485025.94</v>
      </c>
      <c r="F142" s="11">
        <v>664134.28</v>
      </c>
      <c r="G142" s="11">
        <v>42392</v>
      </c>
      <c r="H142" s="11">
        <v>26969.52</v>
      </c>
      <c r="I142" s="11">
        <v>165</v>
      </c>
      <c r="J142" s="11">
        <v>1534423.11</v>
      </c>
      <c r="K142" s="11">
        <v>15284496.73</v>
      </c>
      <c r="L142" s="8">
        <f t="shared" si="4"/>
        <v>39730934.030000001</v>
      </c>
    </row>
    <row r="143" spans="1:12" x14ac:dyDescent="0.35">
      <c r="A143" s="7">
        <v>44488</v>
      </c>
      <c r="B143" s="11">
        <v>6647160.8799999999</v>
      </c>
      <c r="C143" s="11">
        <v>14371847.439999999</v>
      </c>
      <c r="D143" s="11">
        <v>518664.02</v>
      </c>
      <c r="E143" s="11">
        <v>515559.1</v>
      </c>
      <c r="F143" s="11">
        <v>917398.25</v>
      </c>
      <c r="G143" s="11">
        <v>14492.8</v>
      </c>
      <c r="H143" s="11">
        <v>19056.68</v>
      </c>
      <c r="I143" s="11"/>
      <c r="J143" s="11">
        <v>598637.49</v>
      </c>
      <c r="K143" s="11">
        <v>9090898.0199999996</v>
      </c>
      <c r="L143" s="8">
        <f t="shared" si="4"/>
        <v>32693714.68</v>
      </c>
    </row>
    <row r="144" spans="1:12" x14ac:dyDescent="0.35">
      <c r="A144" s="7">
        <v>44519</v>
      </c>
      <c r="B144" s="11">
        <v>5036898.8099999996</v>
      </c>
      <c r="C144" s="11">
        <v>13317067.439999999</v>
      </c>
      <c r="D144" s="11">
        <v>464431.19</v>
      </c>
      <c r="E144" s="11">
        <v>504136.43</v>
      </c>
      <c r="F144" s="11">
        <v>673451.78</v>
      </c>
      <c r="G144" s="11">
        <v>12224.54</v>
      </c>
      <c r="H144" s="11">
        <v>51483.040000000001</v>
      </c>
      <c r="I144" s="11"/>
      <c r="J144" s="11">
        <v>1487547.93</v>
      </c>
      <c r="K144" s="11">
        <v>9588695.7899999991</v>
      </c>
      <c r="L144" s="8">
        <f t="shared" si="4"/>
        <v>31135936.949999999</v>
      </c>
    </row>
    <row r="145" spans="1:12" ht="15" thickBot="1" x14ac:dyDescent="0.4">
      <c r="A145" s="15">
        <v>44549</v>
      </c>
      <c r="B145" s="54">
        <v>4198791.4000000004</v>
      </c>
      <c r="C145" s="54">
        <v>17138448.27</v>
      </c>
      <c r="D145" s="54">
        <v>624786.47</v>
      </c>
      <c r="E145" s="54">
        <v>748818.33</v>
      </c>
      <c r="F145" s="54">
        <v>826682.01</v>
      </c>
      <c r="G145" s="54">
        <v>18232.98</v>
      </c>
      <c r="H145" s="54">
        <v>26690.720000000001</v>
      </c>
      <c r="I145" s="54">
        <v>26079</v>
      </c>
      <c r="J145" s="54">
        <v>2251991.35</v>
      </c>
      <c r="K145" s="54">
        <v>12692928.390000001</v>
      </c>
      <c r="L145" s="14">
        <f t="shared" si="4"/>
        <v>38553448.920000002</v>
      </c>
    </row>
    <row r="146" spans="1:12" x14ac:dyDescent="0.35">
      <c r="A146" s="53">
        <v>44583</v>
      </c>
      <c r="B146" s="70">
        <v>4095785.12</v>
      </c>
      <c r="C146" s="70">
        <v>12129267.6</v>
      </c>
      <c r="D146" s="70">
        <v>460015.47</v>
      </c>
      <c r="E146" s="70">
        <v>473742.98</v>
      </c>
      <c r="F146" s="70">
        <v>701380.09</v>
      </c>
      <c r="G146" s="70">
        <v>94315.3</v>
      </c>
      <c r="H146" s="70">
        <v>42285.919999999998</v>
      </c>
      <c r="I146" s="70">
        <v>88229</v>
      </c>
      <c r="J146" s="70">
        <v>2813159.64</v>
      </c>
      <c r="K146" s="70">
        <v>10516793.890000001</v>
      </c>
      <c r="L146" s="52">
        <f t="shared" ref="L146:L149" si="5">SUM(B146:K146)</f>
        <v>31414975.010000002</v>
      </c>
    </row>
    <row r="147" spans="1:12" x14ac:dyDescent="0.35">
      <c r="A147" s="7">
        <v>44614</v>
      </c>
      <c r="B147" s="11">
        <v>4756676.37</v>
      </c>
      <c r="C147" s="11">
        <v>11676833.779999999</v>
      </c>
      <c r="D147" s="11">
        <v>458223.27</v>
      </c>
      <c r="E147" s="11">
        <v>505762.39</v>
      </c>
      <c r="F147" s="11">
        <v>670212.32999999996</v>
      </c>
      <c r="G147" s="11">
        <v>11021</v>
      </c>
      <c r="H147" s="11">
        <v>37967.39</v>
      </c>
      <c r="I147" s="11">
        <v>136962</v>
      </c>
      <c r="J147" s="11">
        <v>1249470.5900000001</v>
      </c>
      <c r="K147" s="11">
        <v>13011035.189999999</v>
      </c>
      <c r="L147" s="8">
        <f t="shared" si="5"/>
        <v>32514164.309999995</v>
      </c>
    </row>
    <row r="148" spans="1:12" x14ac:dyDescent="0.35">
      <c r="A148" s="7">
        <v>44642</v>
      </c>
      <c r="B148" s="11">
        <v>5381095.4000000004</v>
      </c>
      <c r="C148" s="11">
        <v>13888884.050000001</v>
      </c>
      <c r="D148" s="11">
        <v>596690.41</v>
      </c>
      <c r="E148" s="11">
        <v>636715.01</v>
      </c>
      <c r="F148" s="11">
        <v>864716.23</v>
      </c>
      <c r="G148" s="11">
        <v>20289.32</v>
      </c>
      <c r="H148" s="11">
        <v>41578.03</v>
      </c>
      <c r="I148" s="11">
        <v>162318</v>
      </c>
      <c r="J148" s="11">
        <v>1773390.21</v>
      </c>
      <c r="K148" s="11">
        <v>20800275.91</v>
      </c>
      <c r="L148" s="8">
        <f t="shared" si="5"/>
        <v>44165952.570000008</v>
      </c>
    </row>
    <row r="149" spans="1:12" x14ac:dyDescent="0.35">
      <c r="A149" s="7">
        <v>44673</v>
      </c>
      <c r="B149" s="11">
        <v>4993442</v>
      </c>
      <c r="C149" s="11">
        <v>12880107</v>
      </c>
      <c r="D149" s="11">
        <v>531697</v>
      </c>
      <c r="E149" s="11">
        <v>573201</v>
      </c>
      <c r="F149" s="11">
        <v>659977</v>
      </c>
      <c r="G149" s="11">
        <v>16436</v>
      </c>
      <c r="H149" s="11">
        <v>21292</v>
      </c>
      <c r="I149" s="11">
        <v>123128</v>
      </c>
      <c r="J149" s="11">
        <v>1104595</v>
      </c>
      <c r="K149" s="11">
        <v>31680502</v>
      </c>
      <c r="L149" s="8">
        <f t="shared" si="5"/>
        <v>52584377</v>
      </c>
    </row>
    <row r="150" spans="1:12" x14ac:dyDescent="0.35">
      <c r="A150" s="7">
        <v>44703</v>
      </c>
      <c r="B150" s="11">
        <v>5268857.8600000003</v>
      </c>
      <c r="C150" s="11">
        <v>12838150</v>
      </c>
      <c r="D150" s="11">
        <v>483866.31</v>
      </c>
      <c r="E150" s="11">
        <v>705327.34</v>
      </c>
      <c r="F150" s="11">
        <v>674574.27</v>
      </c>
      <c r="G150" s="11">
        <v>11919</v>
      </c>
      <c r="H150" s="11">
        <v>27450.1</v>
      </c>
      <c r="I150" s="11">
        <v>85007</v>
      </c>
      <c r="J150" s="11">
        <v>1156900.5900000001</v>
      </c>
      <c r="K150" s="11">
        <v>21917031</v>
      </c>
      <c r="L150" s="8">
        <f>SUM(B150:K150)</f>
        <v>43169083.469999999</v>
      </c>
    </row>
    <row r="151" spans="1:12" x14ac:dyDescent="0.35">
      <c r="A151" s="7">
        <v>44734</v>
      </c>
      <c r="B151" s="11">
        <v>4778547</v>
      </c>
      <c r="C151" s="11">
        <v>15932297</v>
      </c>
      <c r="D151" s="11">
        <v>610176</v>
      </c>
      <c r="E151" s="11">
        <v>519096</v>
      </c>
      <c r="F151" s="11">
        <v>746981</v>
      </c>
      <c r="G151" s="11">
        <v>60648</v>
      </c>
      <c r="H151" s="11">
        <v>36914</v>
      </c>
      <c r="I151" s="11">
        <v>102977</v>
      </c>
      <c r="J151" s="11">
        <v>2079385</v>
      </c>
      <c r="K151" s="11">
        <v>31291930</v>
      </c>
      <c r="L151" s="8">
        <f t="shared" ref="L151:L161" si="6">SUM(B151:K151)</f>
        <v>56158951</v>
      </c>
    </row>
    <row r="152" spans="1:12" x14ac:dyDescent="0.35">
      <c r="A152" s="7">
        <v>44764</v>
      </c>
      <c r="B152" s="11">
        <v>5034219</v>
      </c>
      <c r="C152" s="11">
        <v>12904844</v>
      </c>
      <c r="D152" s="11">
        <v>694307</v>
      </c>
      <c r="E152" s="11">
        <v>479152</v>
      </c>
      <c r="F152" s="11">
        <v>537930</v>
      </c>
      <c r="G152" s="11">
        <v>12203</v>
      </c>
      <c r="H152" s="11">
        <v>32986</v>
      </c>
      <c r="I152" s="11">
        <v>95928</v>
      </c>
      <c r="J152" s="11">
        <v>579494</v>
      </c>
      <c r="K152" s="11">
        <v>24266986</v>
      </c>
      <c r="L152" s="8">
        <f t="shared" si="6"/>
        <v>44638049</v>
      </c>
    </row>
    <row r="153" spans="1:12" x14ac:dyDescent="0.35">
      <c r="A153" s="7">
        <v>44795</v>
      </c>
      <c r="B153" s="11">
        <v>3902870</v>
      </c>
      <c r="C153" s="11">
        <v>11324594</v>
      </c>
      <c r="D153" s="11">
        <v>504405</v>
      </c>
      <c r="E153" s="11">
        <v>439798</v>
      </c>
      <c r="F153" s="11">
        <v>783240</v>
      </c>
      <c r="G153" s="11">
        <v>795639</v>
      </c>
      <c r="H153" s="11">
        <v>21985</v>
      </c>
      <c r="I153" s="11">
        <v>160100</v>
      </c>
      <c r="J153" s="11">
        <v>1169712</v>
      </c>
      <c r="K153" s="11">
        <v>25479858</v>
      </c>
      <c r="L153" s="8">
        <f t="shared" si="6"/>
        <v>44582201</v>
      </c>
    </row>
    <row r="154" spans="1:12" x14ac:dyDescent="0.35">
      <c r="A154" s="7">
        <v>44826</v>
      </c>
      <c r="B154" s="11">
        <v>3717335.28</v>
      </c>
      <c r="C154" s="11">
        <v>13886952.550000001</v>
      </c>
      <c r="D154" s="11">
        <v>512958.54</v>
      </c>
      <c r="E154" s="11">
        <v>574649.56000000006</v>
      </c>
      <c r="F154" s="11">
        <v>1130760.24</v>
      </c>
      <c r="G154" s="11">
        <v>48673.32</v>
      </c>
      <c r="H154" s="11">
        <v>62022.34</v>
      </c>
      <c r="I154" s="11">
        <v>141794</v>
      </c>
      <c r="J154" s="11">
        <v>1248354.48</v>
      </c>
      <c r="K154" s="11">
        <v>23237295.41</v>
      </c>
      <c r="L154" s="8">
        <f t="shared" si="6"/>
        <v>44560795.719999999</v>
      </c>
    </row>
    <row r="155" spans="1:12" x14ac:dyDescent="0.35">
      <c r="A155" s="7">
        <v>44856</v>
      </c>
      <c r="B155" s="11">
        <v>4683908</v>
      </c>
      <c r="C155" s="11">
        <v>15766392</v>
      </c>
      <c r="D155" s="11">
        <v>440987</v>
      </c>
      <c r="E155" s="11">
        <v>528461</v>
      </c>
      <c r="F155" s="11">
        <v>719775</v>
      </c>
      <c r="G155" s="11">
        <v>38069</v>
      </c>
      <c r="H155" s="11">
        <v>40935</v>
      </c>
      <c r="I155" s="11">
        <v>146237</v>
      </c>
      <c r="J155" s="11">
        <v>1366940</v>
      </c>
      <c r="K155" s="11">
        <v>19810853</v>
      </c>
      <c r="L155" s="8">
        <f t="shared" si="6"/>
        <v>43542557</v>
      </c>
    </row>
    <row r="156" spans="1:12" x14ac:dyDescent="0.35">
      <c r="A156" s="7">
        <v>44887</v>
      </c>
      <c r="B156" s="11">
        <v>4364169</v>
      </c>
      <c r="C156" s="11">
        <v>13385381</v>
      </c>
      <c r="D156" s="11">
        <v>510464</v>
      </c>
      <c r="E156" s="11">
        <v>514163</v>
      </c>
      <c r="F156" s="11">
        <v>728065</v>
      </c>
      <c r="G156" s="11">
        <v>63503</v>
      </c>
      <c r="H156" s="11">
        <v>11813</v>
      </c>
      <c r="I156" s="11">
        <v>159451</v>
      </c>
      <c r="J156" s="11">
        <v>811552</v>
      </c>
      <c r="K156" s="11">
        <v>24652756</v>
      </c>
      <c r="L156" s="8">
        <f t="shared" si="6"/>
        <v>45201317</v>
      </c>
    </row>
    <row r="157" spans="1:12" ht="15" thickBot="1" x14ac:dyDescent="0.4">
      <c r="A157" s="15">
        <v>44917</v>
      </c>
      <c r="B157" s="54">
        <v>3937666</v>
      </c>
      <c r="C157" s="54">
        <v>15137618</v>
      </c>
      <c r="D157" s="54">
        <v>369260</v>
      </c>
      <c r="E157" s="54">
        <v>657754</v>
      </c>
      <c r="F157" s="54">
        <v>876574</v>
      </c>
      <c r="G157" s="54">
        <v>39308</v>
      </c>
      <c r="H157" s="54">
        <v>32690</v>
      </c>
      <c r="I157" s="54">
        <v>151169</v>
      </c>
      <c r="J157" s="54">
        <v>934551</v>
      </c>
      <c r="K157" s="54">
        <v>31700233</v>
      </c>
      <c r="L157" s="14">
        <f t="shared" si="6"/>
        <v>53836823</v>
      </c>
    </row>
    <row r="158" spans="1:12" x14ac:dyDescent="0.35">
      <c r="A158" s="53">
        <v>44948</v>
      </c>
      <c r="B158" s="70">
        <v>4087607</v>
      </c>
      <c r="C158" s="70">
        <v>14948364</v>
      </c>
      <c r="D158" s="70">
        <v>863138</v>
      </c>
      <c r="E158" s="70">
        <v>510132</v>
      </c>
      <c r="F158" s="70">
        <v>599046</v>
      </c>
      <c r="G158" s="70">
        <v>29000</v>
      </c>
      <c r="H158" s="70">
        <v>29247</v>
      </c>
      <c r="I158" s="70">
        <v>180644</v>
      </c>
      <c r="J158" s="70">
        <v>818070</v>
      </c>
      <c r="K158" s="70">
        <v>24814382</v>
      </c>
      <c r="L158" s="52">
        <f t="shared" si="6"/>
        <v>46879630</v>
      </c>
    </row>
    <row r="159" spans="1:12" x14ac:dyDescent="0.35">
      <c r="A159" s="7">
        <v>44979</v>
      </c>
      <c r="B159" s="11">
        <v>5243737</v>
      </c>
      <c r="C159" s="11">
        <v>12147605</v>
      </c>
      <c r="D159" s="11">
        <v>509102</v>
      </c>
      <c r="E159" s="11">
        <v>504589</v>
      </c>
      <c r="F159" s="11">
        <v>676173</v>
      </c>
      <c r="G159" s="11">
        <v>32749</v>
      </c>
      <c r="H159" s="11">
        <v>19560</v>
      </c>
      <c r="I159" s="11">
        <v>179818</v>
      </c>
      <c r="J159" s="11">
        <v>868732</v>
      </c>
      <c r="K159" s="11">
        <v>30101790</v>
      </c>
      <c r="L159" s="8">
        <f t="shared" si="6"/>
        <v>50283855</v>
      </c>
    </row>
    <row r="160" spans="1:12" x14ac:dyDescent="0.35">
      <c r="A160" s="7">
        <v>45007</v>
      </c>
      <c r="B160" s="100">
        <v>5557533.2000000002</v>
      </c>
      <c r="C160" s="100">
        <v>14484026.220000001</v>
      </c>
      <c r="D160" s="100">
        <v>607395.69999999995</v>
      </c>
      <c r="E160" s="100">
        <v>652835.38</v>
      </c>
      <c r="F160" s="100">
        <v>844503.86</v>
      </c>
      <c r="G160" s="100">
        <v>36532.730000000003</v>
      </c>
      <c r="H160" s="100">
        <v>73481.919999999998</v>
      </c>
      <c r="I160" s="100">
        <v>157403</v>
      </c>
      <c r="J160" s="100">
        <v>1226213.75</v>
      </c>
      <c r="K160" s="122">
        <v>28292545.530000001</v>
      </c>
      <c r="L160" s="8">
        <f t="shared" si="6"/>
        <v>51932471.290000007</v>
      </c>
    </row>
    <row r="161" spans="1:12" x14ac:dyDescent="0.35">
      <c r="A161" s="42">
        <v>45038</v>
      </c>
      <c r="B161" s="11">
        <v>4987441</v>
      </c>
      <c r="C161" s="11">
        <v>13354942</v>
      </c>
      <c r="D161" s="11">
        <v>490299</v>
      </c>
      <c r="E161" s="11">
        <v>636970</v>
      </c>
      <c r="F161" s="11">
        <v>622130</v>
      </c>
      <c r="G161" s="11">
        <v>15771</v>
      </c>
      <c r="H161" s="11">
        <v>21601</v>
      </c>
      <c r="I161" s="11">
        <v>104370</v>
      </c>
      <c r="J161" s="11">
        <v>2017590</v>
      </c>
      <c r="K161" s="11">
        <v>25513571</v>
      </c>
      <c r="L161" s="8">
        <f t="shared" si="6"/>
        <v>47764685</v>
      </c>
    </row>
    <row r="162" spans="1:12" x14ac:dyDescent="0.35">
      <c r="A162" s="7">
        <v>45068</v>
      </c>
      <c r="B162" s="11">
        <v>4616881</v>
      </c>
      <c r="C162" s="11">
        <v>14846003</v>
      </c>
      <c r="D162" s="11">
        <v>506307</v>
      </c>
      <c r="E162" s="11">
        <v>606131</v>
      </c>
      <c r="F162" s="11">
        <v>662776</v>
      </c>
      <c r="G162" s="11">
        <v>37056</v>
      </c>
      <c r="H162" s="11">
        <v>41770</v>
      </c>
      <c r="I162" s="11">
        <v>132420</v>
      </c>
      <c r="J162" s="11">
        <v>1678788</v>
      </c>
      <c r="K162" s="11">
        <v>26227586</v>
      </c>
      <c r="L162" s="8">
        <f>SUM(B162:K162)</f>
        <v>49355718</v>
      </c>
    </row>
    <row r="163" spans="1:12" x14ac:dyDescent="0.35">
      <c r="A163" s="7">
        <v>45099</v>
      </c>
      <c r="B163" s="11">
        <v>4687047</v>
      </c>
      <c r="C163" s="11">
        <v>13769657</v>
      </c>
      <c r="D163" s="11">
        <v>569668</v>
      </c>
      <c r="E163" s="11">
        <v>594511</v>
      </c>
      <c r="F163" s="11">
        <v>633439</v>
      </c>
      <c r="G163" s="11">
        <v>85016</v>
      </c>
      <c r="H163" s="11">
        <v>32467</v>
      </c>
      <c r="I163" s="11">
        <v>100619</v>
      </c>
      <c r="J163" s="11">
        <v>2176617</v>
      </c>
      <c r="K163" s="11">
        <v>30658854</v>
      </c>
      <c r="L163" s="8">
        <f t="shared" ref="L163:L180" si="7">SUM(B163:K163)</f>
        <v>53307895</v>
      </c>
    </row>
    <row r="164" spans="1:12" x14ac:dyDescent="0.35">
      <c r="A164" s="42">
        <v>45129</v>
      </c>
      <c r="B164" s="11">
        <v>4519704</v>
      </c>
      <c r="C164" s="11">
        <v>12690517</v>
      </c>
      <c r="D164" s="11">
        <v>558899</v>
      </c>
      <c r="E164" s="11">
        <v>517910</v>
      </c>
      <c r="F164" s="11">
        <v>463879</v>
      </c>
      <c r="G164" s="11">
        <v>3090</v>
      </c>
      <c r="H164" s="11">
        <v>28856</v>
      </c>
      <c r="I164" s="11">
        <v>119827</v>
      </c>
      <c r="J164" s="11">
        <v>640670</v>
      </c>
      <c r="K164" s="11">
        <v>21871920</v>
      </c>
      <c r="L164" s="8">
        <f t="shared" si="7"/>
        <v>41415272</v>
      </c>
    </row>
    <row r="165" spans="1:12" x14ac:dyDescent="0.35">
      <c r="A165" s="7">
        <v>45160</v>
      </c>
      <c r="B165" s="100">
        <v>3596573.09</v>
      </c>
      <c r="C165" s="100">
        <v>13564479.060000001</v>
      </c>
      <c r="D165" s="100">
        <v>543200.86</v>
      </c>
      <c r="E165" s="100">
        <v>586385.27</v>
      </c>
      <c r="F165" s="100">
        <v>689145.65</v>
      </c>
      <c r="G165" s="100">
        <v>700867.35</v>
      </c>
      <c r="H165" s="100">
        <v>19389.88</v>
      </c>
      <c r="I165" s="100">
        <v>178788</v>
      </c>
      <c r="J165" s="100">
        <v>1141157.98</v>
      </c>
      <c r="K165" s="100">
        <v>26488143.309999999</v>
      </c>
      <c r="L165" s="8">
        <f t="shared" si="7"/>
        <v>47508130.449999996</v>
      </c>
    </row>
    <row r="166" spans="1:12" x14ac:dyDescent="0.35">
      <c r="A166" s="7">
        <v>45191</v>
      </c>
      <c r="B166" s="100">
        <v>3216705.68</v>
      </c>
      <c r="C166" s="100">
        <v>14843214.85</v>
      </c>
      <c r="D166" s="100">
        <v>451064.43</v>
      </c>
      <c r="E166" s="100">
        <v>657138.88</v>
      </c>
      <c r="F166" s="100">
        <v>799114.44</v>
      </c>
      <c r="G166" s="100">
        <v>459090.71</v>
      </c>
      <c r="H166" s="100">
        <v>28846.3</v>
      </c>
      <c r="I166" s="100">
        <v>124986</v>
      </c>
      <c r="J166" s="100">
        <v>1368714.52</v>
      </c>
      <c r="K166" s="100">
        <v>24481706.140000001</v>
      </c>
      <c r="L166" s="8">
        <f t="shared" si="7"/>
        <v>46430581.950000003</v>
      </c>
    </row>
    <row r="167" spans="1:12" x14ac:dyDescent="0.35">
      <c r="A167" s="42">
        <v>45221</v>
      </c>
      <c r="B167" s="37">
        <v>4154872</v>
      </c>
      <c r="C167" s="37">
        <v>14316631</v>
      </c>
      <c r="D167" s="37">
        <v>476498</v>
      </c>
      <c r="E167" s="37">
        <v>624300</v>
      </c>
      <c r="F167" s="37">
        <v>790235</v>
      </c>
      <c r="G167" s="37">
        <v>461214</v>
      </c>
      <c r="H167" s="37">
        <v>47510</v>
      </c>
      <c r="I167" s="37">
        <v>90002</v>
      </c>
      <c r="J167" s="37">
        <v>935967</v>
      </c>
      <c r="K167" s="37">
        <v>26134512</v>
      </c>
      <c r="L167" s="8">
        <f t="shared" si="7"/>
        <v>48031741</v>
      </c>
    </row>
    <row r="168" spans="1:12" x14ac:dyDescent="0.35">
      <c r="A168" s="7">
        <v>45252</v>
      </c>
      <c r="B168" s="100">
        <v>4514087.75</v>
      </c>
      <c r="C168" s="100">
        <v>15452770.52</v>
      </c>
      <c r="D168" s="100">
        <v>450766.41</v>
      </c>
      <c r="E168" s="100">
        <v>617186.66</v>
      </c>
      <c r="F168" s="100">
        <v>736929.84</v>
      </c>
      <c r="G168" s="100">
        <v>426498.15</v>
      </c>
      <c r="H168" s="100">
        <v>24017.74</v>
      </c>
      <c r="I168" s="100">
        <v>116208</v>
      </c>
      <c r="J168" s="100">
        <v>1492633.25</v>
      </c>
      <c r="K168" s="122">
        <v>21905267.420000002</v>
      </c>
      <c r="L168" s="8">
        <f t="shared" si="7"/>
        <v>45736365.739999995</v>
      </c>
    </row>
    <row r="169" spans="1:12" ht="15" thickBot="1" x14ac:dyDescent="0.4">
      <c r="A169" s="15">
        <v>45282</v>
      </c>
      <c r="B169" s="54">
        <v>3531233.31</v>
      </c>
      <c r="C169" s="54">
        <v>14591867.74</v>
      </c>
      <c r="D169" s="54">
        <v>725158.54</v>
      </c>
      <c r="E169" s="54">
        <v>685939.94</v>
      </c>
      <c r="F169" s="54">
        <v>879330.76</v>
      </c>
      <c r="G169" s="54">
        <v>446340.38</v>
      </c>
      <c r="H169" s="54">
        <v>23280.28</v>
      </c>
      <c r="I169" s="54">
        <v>131637</v>
      </c>
      <c r="J169" s="54">
        <v>1673471.55</v>
      </c>
      <c r="K169" s="54">
        <v>27173948</v>
      </c>
      <c r="L169" s="14">
        <f t="shared" si="7"/>
        <v>49862207.5</v>
      </c>
    </row>
    <row r="170" spans="1:12" x14ac:dyDescent="0.35">
      <c r="A170" s="53">
        <v>45313</v>
      </c>
      <c r="B170" s="132">
        <v>3666247.63</v>
      </c>
      <c r="C170" s="132">
        <v>12598367.07</v>
      </c>
      <c r="D170" s="132">
        <v>403689.94</v>
      </c>
      <c r="E170" s="132">
        <v>621694.36</v>
      </c>
      <c r="F170" s="132">
        <v>652769.88</v>
      </c>
      <c r="G170" s="132">
        <v>538071.19999999995</v>
      </c>
      <c r="H170" s="132">
        <v>25997.3</v>
      </c>
      <c r="I170" s="132">
        <v>107871</v>
      </c>
      <c r="J170" s="132">
        <v>1027288.63</v>
      </c>
      <c r="K170" s="132">
        <v>18373475.75</v>
      </c>
      <c r="L170" s="8">
        <f t="shared" si="7"/>
        <v>38015472.759999998</v>
      </c>
    </row>
    <row r="171" spans="1:12" x14ac:dyDescent="0.35">
      <c r="A171" s="7">
        <v>45344</v>
      </c>
      <c r="B171" s="100">
        <v>4258004.5999999996</v>
      </c>
      <c r="C171" s="100">
        <v>13161322.630000001</v>
      </c>
      <c r="D171" s="100">
        <v>475649.92</v>
      </c>
      <c r="E171" s="100">
        <v>518873.67</v>
      </c>
      <c r="F171" s="100">
        <v>660479.66</v>
      </c>
      <c r="G171" s="100">
        <v>616675.18000000005</v>
      </c>
      <c r="H171" s="100">
        <v>31632.38</v>
      </c>
      <c r="I171" s="100">
        <v>115203</v>
      </c>
      <c r="J171" s="100">
        <v>824357.12</v>
      </c>
      <c r="K171" s="100">
        <v>26322989.190000001</v>
      </c>
      <c r="L171" s="8">
        <f t="shared" si="7"/>
        <v>46985187.350000009</v>
      </c>
    </row>
    <row r="172" spans="1:12" x14ac:dyDescent="0.35">
      <c r="A172" s="42">
        <v>45373</v>
      </c>
      <c r="B172" s="100">
        <v>4835253.22</v>
      </c>
      <c r="C172" s="100">
        <v>14332313.51</v>
      </c>
      <c r="D172" s="100">
        <v>477434.55</v>
      </c>
      <c r="E172" s="100">
        <v>549598.38</v>
      </c>
      <c r="F172" s="100">
        <v>833783.62</v>
      </c>
      <c r="G172" s="100">
        <v>540419.76</v>
      </c>
      <c r="H172" s="100">
        <v>45394.45</v>
      </c>
      <c r="I172" s="100">
        <v>133703</v>
      </c>
      <c r="J172" s="100">
        <v>1239318.96</v>
      </c>
      <c r="K172" s="122">
        <v>25877819.27</v>
      </c>
      <c r="L172" s="8">
        <f t="shared" si="7"/>
        <v>48865038.719999999</v>
      </c>
    </row>
    <row r="173" spans="1:12" x14ac:dyDescent="0.35">
      <c r="A173" s="7">
        <v>45404</v>
      </c>
      <c r="B173" s="11">
        <v>5222749.99</v>
      </c>
      <c r="C173" s="11">
        <v>13455199.699999999</v>
      </c>
      <c r="D173" s="11">
        <v>399535.68</v>
      </c>
      <c r="E173" s="11">
        <v>609305.4</v>
      </c>
      <c r="F173" s="11">
        <v>728234.85</v>
      </c>
      <c r="G173" s="11">
        <v>466146.88</v>
      </c>
      <c r="H173" s="11">
        <v>46091.24</v>
      </c>
      <c r="I173" s="11">
        <v>156182</v>
      </c>
      <c r="J173" s="11">
        <v>870804.02</v>
      </c>
      <c r="K173" s="11">
        <v>23609759.02</v>
      </c>
      <c r="L173" s="8">
        <f t="shared" si="7"/>
        <v>45564008.779999994</v>
      </c>
    </row>
    <row r="174" spans="1:12" x14ac:dyDescent="0.35">
      <c r="A174" s="42">
        <v>45434</v>
      </c>
      <c r="B174" s="11">
        <v>4664946.22</v>
      </c>
      <c r="C174" s="11">
        <v>14054925.300000001</v>
      </c>
      <c r="D174" s="11">
        <v>479385.91</v>
      </c>
      <c r="E174" s="11">
        <v>622442.71</v>
      </c>
      <c r="F174" s="11">
        <v>656172</v>
      </c>
      <c r="G174" s="11">
        <v>507453.8</v>
      </c>
      <c r="H174" s="11">
        <v>15563.02</v>
      </c>
      <c r="I174" s="11">
        <v>107085</v>
      </c>
      <c r="J174" s="11">
        <v>793833.29</v>
      </c>
      <c r="K174" s="11">
        <v>25475244.75</v>
      </c>
      <c r="L174" s="8">
        <f t="shared" si="7"/>
        <v>47377052</v>
      </c>
    </row>
    <row r="175" spans="1:12" x14ac:dyDescent="0.35">
      <c r="A175" s="7">
        <v>45465</v>
      </c>
      <c r="B175" s="11">
        <v>4504342.07</v>
      </c>
      <c r="C175" s="11">
        <v>14322884.890000001</v>
      </c>
      <c r="D175" s="11">
        <v>430207.72</v>
      </c>
      <c r="E175" s="11">
        <v>529923.79</v>
      </c>
      <c r="F175" s="11">
        <v>683366.8</v>
      </c>
      <c r="G175" s="11">
        <v>493794.95</v>
      </c>
      <c r="H175" s="11">
        <v>25308.85</v>
      </c>
      <c r="I175" s="11">
        <v>90311</v>
      </c>
      <c r="J175" s="11">
        <v>743695.15</v>
      </c>
      <c r="K175" s="11">
        <v>25127681.210000001</v>
      </c>
      <c r="L175" s="8">
        <f t="shared" si="7"/>
        <v>46951516.43</v>
      </c>
    </row>
    <row r="176" spans="1:12" x14ac:dyDescent="0.35">
      <c r="A176" s="42">
        <v>45495</v>
      </c>
      <c r="B176" s="11">
        <v>4629038.1100000003</v>
      </c>
      <c r="C176" s="11">
        <v>13391802.9</v>
      </c>
      <c r="D176" s="11">
        <v>476697.01</v>
      </c>
      <c r="E176" s="11">
        <v>507318.88</v>
      </c>
      <c r="F176" s="11">
        <v>649198.25</v>
      </c>
      <c r="G176" s="11">
        <v>439254.93</v>
      </c>
      <c r="H176" s="11">
        <v>22952.3</v>
      </c>
      <c r="I176" s="11">
        <v>106087.48</v>
      </c>
      <c r="J176" s="11">
        <v>1452620.89</v>
      </c>
      <c r="K176" s="11">
        <v>29081907.66</v>
      </c>
      <c r="L176" s="8">
        <f t="shared" si="7"/>
        <v>50756878.410000004</v>
      </c>
    </row>
    <row r="177" spans="1:14" x14ac:dyDescent="0.35">
      <c r="A177" s="7">
        <v>45526</v>
      </c>
      <c r="B177" s="100">
        <v>3620506.99</v>
      </c>
      <c r="C177" s="100">
        <v>14300011.34</v>
      </c>
      <c r="D177" s="100">
        <v>510262.17</v>
      </c>
      <c r="E177" s="100">
        <v>613497.13</v>
      </c>
      <c r="F177" s="100">
        <v>646535.23</v>
      </c>
      <c r="G177" s="100">
        <v>486748.08</v>
      </c>
      <c r="H177" s="100">
        <v>31975.34</v>
      </c>
      <c r="I177" s="100">
        <v>115646.51</v>
      </c>
      <c r="J177" s="100">
        <v>1506730.6</v>
      </c>
      <c r="K177" s="100">
        <v>29583150.940000001</v>
      </c>
      <c r="L177" s="8">
        <f t="shared" si="7"/>
        <v>51415064.329999998</v>
      </c>
    </row>
    <row r="178" spans="1:14" x14ac:dyDescent="0.35">
      <c r="A178" s="42">
        <v>45557</v>
      </c>
      <c r="B178" s="100">
        <v>4076381.81</v>
      </c>
      <c r="C178" s="100">
        <v>13935365.73</v>
      </c>
      <c r="D178" s="100">
        <v>413643.68</v>
      </c>
      <c r="E178" s="100">
        <v>568125.11</v>
      </c>
      <c r="F178" s="100">
        <v>785193.69</v>
      </c>
      <c r="G178" s="100">
        <v>510042.23</v>
      </c>
      <c r="H178" s="100">
        <v>10568.43</v>
      </c>
      <c r="I178" s="100">
        <v>112889.23</v>
      </c>
      <c r="J178" s="100">
        <v>1254671.78</v>
      </c>
      <c r="K178" s="100">
        <v>25804474.18</v>
      </c>
      <c r="L178" s="8">
        <f t="shared" si="7"/>
        <v>47471355.870000005</v>
      </c>
    </row>
    <row r="179" spans="1:14" x14ac:dyDescent="0.35">
      <c r="A179" s="7">
        <v>45587</v>
      </c>
      <c r="B179" s="37">
        <v>4307603.22</v>
      </c>
      <c r="C179" s="37">
        <v>14777031.98</v>
      </c>
      <c r="D179" s="37">
        <v>404493.16</v>
      </c>
      <c r="E179" s="37">
        <v>551039.07999999996</v>
      </c>
      <c r="F179" s="37">
        <v>679519.56</v>
      </c>
      <c r="G179" s="37">
        <v>510004.55</v>
      </c>
      <c r="H179" s="37">
        <v>29416.27</v>
      </c>
      <c r="I179" s="37">
        <v>89029.87</v>
      </c>
      <c r="J179" s="37">
        <v>1743369.62</v>
      </c>
      <c r="K179" s="37">
        <v>28823349.25</v>
      </c>
      <c r="L179" s="8">
        <f t="shared" si="7"/>
        <v>51914856.560000002</v>
      </c>
    </row>
    <row r="180" spans="1:14" x14ac:dyDescent="0.35">
      <c r="A180" s="42">
        <v>45618</v>
      </c>
      <c r="B180" s="100">
        <v>3925269.96</v>
      </c>
      <c r="C180" s="100">
        <v>14122623.34</v>
      </c>
      <c r="D180" s="100">
        <v>380564.95</v>
      </c>
      <c r="E180" s="100">
        <v>545133.24</v>
      </c>
      <c r="F180" s="100">
        <v>670706.34</v>
      </c>
      <c r="G180" s="100">
        <v>519464.95</v>
      </c>
      <c r="H180" s="100">
        <v>63625.26</v>
      </c>
      <c r="I180" s="100">
        <v>85564.37</v>
      </c>
      <c r="J180" s="100">
        <v>895499.92</v>
      </c>
      <c r="K180" s="122">
        <v>26028627.66</v>
      </c>
      <c r="L180" s="8">
        <f t="shared" si="7"/>
        <v>47237079.990000002</v>
      </c>
    </row>
    <row r="181" spans="1:14" ht="15" thickBot="1" x14ac:dyDescent="0.4">
      <c r="A181" s="15">
        <v>45648</v>
      </c>
      <c r="B181" s="54">
        <v>3151188.64</v>
      </c>
      <c r="C181" s="54">
        <v>17079035.350000001</v>
      </c>
      <c r="D181" s="54">
        <v>541580.49</v>
      </c>
      <c r="E181" s="54">
        <v>648668.52</v>
      </c>
      <c r="F181" s="54">
        <v>803191.92</v>
      </c>
      <c r="G181" s="54">
        <v>515005.34</v>
      </c>
      <c r="H181" s="54">
        <v>21392.6</v>
      </c>
      <c r="I181" s="54">
        <v>86817.4</v>
      </c>
      <c r="J181" s="54">
        <v>1481127.62</v>
      </c>
      <c r="K181" s="54">
        <v>32768245.16</v>
      </c>
      <c r="L181" s="14">
        <v>57096253.040000007</v>
      </c>
    </row>
    <row r="182" spans="1:14" x14ac:dyDescent="0.35">
      <c r="A182" s="16"/>
      <c r="B182" s="66"/>
      <c r="C182" s="66"/>
      <c r="D182" s="66"/>
      <c r="E182" s="66"/>
      <c r="F182" s="66"/>
      <c r="G182" s="66"/>
      <c r="H182" s="66"/>
      <c r="I182" s="66"/>
      <c r="J182" s="66"/>
      <c r="K182" s="66"/>
      <c r="L182" s="12"/>
    </row>
    <row r="183" spans="1:14" ht="15" thickBot="1" x14ac:dyDescent="0.4">
      <c r="A183" s="16"/>
      <c r="B183" s="12"/>
      <c r="C183" s="12"/>
      <c r="D183" s="12"/>
      <c r="E183" s="12"/>
      <c r="F183" s="12"/>
      <c r="G183" s="12"/>
    </row>
    <row r="184" spans="1:14" ht="15" thickBot="1" x14ac:dyDescent="0.4">
      <c r="A184" s="20" t="s">
        <v>9</v>
      </c>
      <c r="B184" s="21" t="s">
        <v>282</v>
      </c>
      <c r="C184" s="22" t="s">
        <v>283</v>
      </c>
      <c r="D184" s="23" t="s">
        <v>284</v>
      </c>
      <c r="E184" s="23" t="s">
        <v>285</v>
      </c>
      <c r="F184" s="23" t="s">
        <v>286</v>
      </c>
      <c r="G184" s="23" t="s">
        <v>293</v>
      </c>
      <c r="H184" s="23" t="s">
        <v>288</v>
      </c>
      <c r="I184" s="23" t="s">
        <v>289</v>
      </c>
      <c r="J184" s="23" t="s">
        <v>290</v>
      </c>
      <c r="K184" s="23" t="s">
        <v>291</v>
      </c>
      <c r="L184" s="21" t="s">
        <v>292</v>
      </c>
    </row>
    <row r="185" spans="1:14" x14ac:dyDescent="0.35">
      <c r="A185" s="36">
        <v>2010</v>
      </c>
      <c r="B185" s="37">
        <f t="shared" ref="B185:L185" si="8">SUM(B2:B13)</f>
        <v>56195028</v>
      </c>
      <c r="C185" s="37">
        <f t="shared" si="8"/>
        <v>131242565</v>
      </c>
      <c r="D185" s="37">
        <f t="shared" si="8"/>
        <v>1190326</v>
      </c>
      <c r="E185" s="37">
        <f t="shared" si="8"/>
        <v>8854459</v>
      </c>
      <c r="F185" s="37">
        <f t="shared" si="8"/>
        <v>10792822</v>
      </c>
      <c r="G185" s="37">
        <f t="shared" si="8"/>
        <v>-792</v>
      </c>
      <c r="H185" s="37">
        <f t="shared" si="8"/>
        <v>0</v>
      </c>
      <c r="I185" s="37">
        <f t="shared" si="8"/>
        <v>54812</v>
      </c>
      <c r="J185" s="37">
        <f t="shared" si="8"/>
        <v>14995866</v>
      </c>
      <c r="K185" s="37">
        <f t="shared" si="8"/>
        <v>39483651</v>
      </c>
      <c r="L185" s="70">
        <f t="shared" si="8"/>
        <v>262808737</v>
      </c>
    </row>
    <row r="186" spans="1:14" x14ac:dyDescent="0.35">
      <c r="A186" s="18">
        <v>2011</v>
      </c>
      <c r="B186" s="11">
        <f t="shared" ref="B186:B196" ca="1" si="9">SUM(OFFSET($B$2,(12*(ROW(B2)-1)),0,12,1))</f>
        <v>67334624</v>
      </c>
      <c r="C186" s="11">
        <f t="shared" ref="C186:C196" ca="1" si="10">SUM(OFFSET($C$2,(12*(ROW(C2)-1)),0,12,1))</f>
        <v>141931016</v>
      </c>
      <c r="D186" s="11">
        <f t="shared" ref="D186:D196" ca="1" si="11">SUM(OFFSET($D$2,(12*(ROW(D2)-1)),0,12,1))</f>
        <v>1203527</v>
      </c>
      <c r="E186" s="11">
        <f t="shared" ref="E186:E196" ca="1" si="12">SUM(OFFSET($E$2,(12*(ROW(E2)-1)),0,12,1))</f>
        <v>9755020</v>
      </c>
      <c r="F186" s="11">
        <f t="shared" ref="F186:F196" ca="1" si="13">SUM(OFFSET($F$2,(12*(ROW(F2)-1)),0,12,1))</f>
        <v>11244612</v>
      </c>
      <c r="G186" s="11">
        <f t="shared" ref="G186:G196" ca="1" si="14">SUM(OFFSET($G$2,(12*(ROW(G2)-1)),0,12,1))</f>
        <v>0</v>
      </c>
      <c r="H186" s="11">
        <f t="shared" ref="H186:H196" ca="1" si="15">SUM(OFFSET($H$2,(12*(ROW(H2)-1)),0,12,1))</f>
        <v>0</v>
      </c>
      <c r="I186" s="11">
        <f t="shared" ref="I186:I196" ca="1" si="16">SUM(OFFSET($I$2,(12*(ROW(I2)-1)),0,12,1))</f>
        <v>100420</v>
      </c>
      <c r="J186" s="11">
        <f t="shared" ref="J186:J196" ca="1" si="17">SUM(OFFSET($J$2,(12*(ROW(J2)-1)),0,12,1))</f>
        <v>18155090</v>
      </c>
      <c r="K186" s="11">
        <f t="shared" ref="K186:K196" ca="1" si="18">SUM(OFFSET($K$2,(12*(ROW(K2)-1)),0,12,1))</f>
        <v>46802899</v>
      </c>
      <c r="L186" s="11">
        <f t="shared" ref="L186:L196" ca="1" si="19">SUM(OFFSET($L$2,(12*(ROW(L2)-1)),0,12,1))</f>
        <v>296527208</v>
      </c>
    </row>
    <row r="187" spans="1:14" x14ac:dyDescent="0.35">
      <c r="A187" s="18">
        <v>2012</v>
      </c>
      <c r="B187" s="11">
        <f t="shared" ca="1" si="9"/>
        <v>70749952</v>
      </c>
      <c r="C187" s="11">
        <f t="shared" ca="1" si="10"/>
        <v>139506928</v>
      </c>
      <c r="D187" s="11">
        <f t="shared" ca="1" si="11"/>
        <v>1253702</v>
      </c>
      <c r="E187" s="11">
        <f t="shared" ca="1" si="12"/>
        <v>8068434</v>
      </c>
      <c r="F187" s="11">
        <f t="shared" ca="1" si="13"/>
        <v>10997748</v>
      </c>
      <c r="G187" s="11">
        <f t="shared" ca="1" si="14"/>
        <v>0</v>
      </c>
      <c r="H187" s="11">
        <f t="shared" ca="1" si="15"/>
        <v>7879</v>
      </c>
      <c r="I187" s="11">
        <f t="shared" ca="1" si="16"/>
        <v>162602</v>
      </c>
      <c r="J187" s="11">
        <f t="shared" ca="1" si="17"/>
        <v>26045348</v>
      </c>
      <c r="K187" s="11">
        <f t="shared" ca="1" si="18"/>
        <v>44109033</v>
      </c>
      <c r="L187" s="11">
        <f t="shared" ca="1" si="19"/>
        <v>300901626</v>
      </c>
    </row>
    <row r="188" spans="1:14" x14ac:dyDescent="0.35">
      <c r="A188" s="18">
        <v>2013</v>
      </c>
      <c r="B188" s="11">
        <f t="shared" ca="1" si="9"/>
        <v>75136068</v>
      </c>
      <c r="C188" s="11">
        <f t="shared" ca="1" si="10"/>
        <v>156417963</v>
      </c>
      <c r="D188" s="11">
        <f t="shared" ca="1" si="11"/>
        <v>1290810</v>
      </c>
      <c r="E188" s="11">
        <f t="shared" ca="1" si="12"/>
        <v>7848282</v>
      </c>
      <c r="F188" s="11">
        <f t="shared" ca="1" si="13"/>
        <v>10749184</v>
      </c>
      <c r="G188" s="11">
        <f t="shared" ca="1" si="14"/>
        <v>0</v>
      </c>
      <c r="H188" s="11">
        <f t="shared" ca="1" si="15"/>
        <v>7487</v>
      </c>
      <c r="I188" s="11">
        <f t="shared" ca="1" si="16"/>
        <v>190495</v>
      </c>
      <c r="J188" s="11">
        <f t="shared" ca="1" si="17"/>
        <v>24937396</v>
      </c>
      <c r="K188" s="11">
        <f t="shared" ca="1" si="18"/>
        <v>56736478</v>
      </c>
      <c r="L188" s="11">
        <f t="shared" ca="1" si="19"/>
        <v>333314163</v>
      </c>
      <c r="M188" s="210"/>
    </row>
    <row r="189" spans="1:14" x14ac:dyDescent="0.35">
      <c r="A189" s="18">
        <v>2014</v>
      </c>
      <c r="B189" s="11">
        <f t="shared" ca="1" si="9"/>
        <v>85485760</v>
      </c>
      <c r="C189" s="11">
        <f t="shared" ca="1" si="10"/>
        <v>148595203</v>
      </c>
      <c r="D189" s="11">
        <f t="shared" ca="1" si="11"/>
        <v>2139711</v>
      </c>
      <c r="E189" s="11">
        <f t="shared" ca="1" si="12"/>
        <v>8672213</v>
      </c>
      <c r="F189" s="11">
        <f t="shared" ca="1" si="13"/>
        <v>9767264</v>
      </c>
      <c r="G189" s="11">
        <f t="shared" ca="1" si="14"/>
        <v>1850</v>
      </c>
      <c r="H189" s="11">
        <f t="shared" ca="1" si="15"/>
        <v>23195</v>
      </c>
      <c r="I189" s="11">
        <f t="shared" ca="1" si="16"/>
        <v>155571</v>
      </c>
      <c r="J189" s="11">
        <f t="shared" ca="1" si="17"/>
        <v>17450494</v>
      </c>
      <c r="K189" s="11">
        <f t="shared" ca="1" si="18"/>
        <v>86270864</v>
      </c>
      <c r="L189" s="11">
        <f t="shared" ca="1" si="19"/>
        <v>358562125</v>
      </c>
      <c r="M189" s="211"/>
      <c r="N189" s="212"/>
    </row>
    <row r="190" spans="1:14" x14ac:dyDescent="0.35">
      <c r="A190" s="36">
        <v>2015</v>
      </c>
      <c r="B190" s="37">
        <f t="shared" ca="1" si="9"/>
        <v>81147745.230000004</v>
      </c>
      <c r="C190" s="37">
        <f t="shared" ca="1" si="10"/>
        <v>142691652.91999999</v>
      </c>
      <c r="D190" s="37">
        <f t="shared" ca="1" si="11"/>
        <v>2964754.48</v>
      </c>
      <c r="E190" s="37">
        <f t="shared" ca="1" si="12"/>
        <v>8194388.1199999992</v>
      </c>
      <c r="F190" s="37">
        <f t="shared" ca="1" si="13"/>
        <v>9366952.9199999999</v>
      </c>
      <c r="G190" s="37">
        <f t="shared" ca="1" si="14"/>
        <v>133520.32000000001</v>
      </c>
      <c r="H190" s="37">
        <f t="shared" ca="1" si="15"/>
        <v>11914.619999999999</v>
      </c>
      <c r="I190" s="37">
        <f t="shared" ca="1" si="16"/>
        <v>149910</v>
      </c>
      <c r="J190" s="37">
        <f t="shared" ca="1" si="17"/>
        <v>9891183.5800000001</v>
      </c>
      <c r="K190" s="37">
        <f t="shared" ca="1" si="18"/>
        <v>90522723.810000002</v>
      </c>
      <c r="L190" s="37">
        <f t="shared" ca="1" si="19"/>
        <v>345074746</v>
      </c>
    </row>
    <row r="191" spans="1:14" x14ac:dyDescent="0.35">
      <c r="A191" s="18">
        <v>2016</v>
      </c>
      <c r="B191" s="11">
        <f t="shared" ca="1" si="9"/>
        <v>82479771.49000001</v>
      </c>
      <c r="C191" s="11">
        <f t="shared" ca="1" si="10"/>
        <v>141441547.67999998</v>
      </c>
      <c r="D191" s="11">
        <f t="shared" ca="1" si="11"/>
        <v>5526936.2300000004</v>
      </c>
      <c r="E191" s="11">
        <f t="shared" ca="1" si="12"/>
        <v>7492706.9199999999</v>
      </c>
      <c r="F191" s="11">
        <f t="shared" ca="1" si="13"/>
        <v>10103189.619999999</v>
      </c>
      <c r="G191" s="11">
        <f t="shared" ca="1" si="14"/>
        <v>182596.51</v>
      </c>
      <c r="H191" s="11">
        <f t="shared" ca="1" si="15"/>
        <v>50144.55</v>
      </c>
      <c r="I191" s="11">
        <f t="shared" ca="1" si="16"/>
        <v>164077.94</v>
      </c>
      <c r="J191" s="11">
        <f t="shared" ca="1" si="17"/>
        <v>8423354.290000001</v>
      </c>
      <c r="K191" s="11">
        <f t="shared" ca="1" si="18"/>
        <v>112023055.41</v>
      </c>
      <c r="L191" s="11">
        <f t="shared" ca="1" si="19"/>
        <v>367887380.64000005</v>
      </c>
    </row>
    <row r="192" spans="1:14" x14ac:dyDescent="0.35">
      <c r="A192" s="98">
        <v>2017</v>
      </c>
      <c r="B192" s="85">
        <f t="shared" ca="1" si="9"/>
        <v>67731300.260000005</v>
      </c>
      <c r="C192" s="85">
        <f t="shared" ca="1" si="10"/>
        <v>128901566.82000001</v>
      </c>
      <c r="D192" s="85">
        <f t="shared" ca="1" si="11"/>
        <v>3474428.85</v>
      </c>
      <c r="E192" s="85">
        <f t="shared" ca="1" si="12"/>
        <v>7378529.3200000003</v>
      </c>
      <c r="F192" s="85">
        <f t="shared" ca="1" si="13"/>
        <v>9816142.4199999999</v>
      </c>
      <c r="G192" s="85">
        <f t="shared" ca="1" si="14"/>
        <v>194194.5</v>
      </c>
      <c r="H192" s="85">
        <f t="shared" ca="1" si="15"/>
        <v>26724.38</v>
      </c>
      <c r="I192" s="85">
        <f t="shared" ca="1" si="16"/>
        <v>34408.61</v>
      </c>
      <c r="J192" s="85">
        <f t="shared" ca="1" si="17"/>
        <v>10301084.68</v>
      </c>
      <c r="K192" s="85">
        <f t="shared" ca="1" si="18"/>
        <v>104711985.28</v>
      </c>
      <c r="L192" s="85">
        <f t="shared" ca="1" si="19"/>
        <v>332570365.12</v>
      </c>
    </row>
    <row r="193" spans="1:12" x14ac:dyDescent="0.35">
      <c r="A193" s="18">
        <v>2018</v>
      </c>
      <c r="B193" s="11">
        <f t="shared" ca="1" si="9"/>
        <v>58081259.910000011</v>
      </c>
      <c r="C193" s="11">
        <f t="shared" ca="1" si="10"/>
        <v>131487306.69</v>
      </c>
      <c r="D193" s="11">
        <f t="shared" ca="1" si="11"/>
        <v>6175897.0099999998</v>
      </c>
      <c r="E193" s="11">
        <f t="shared" ca="1" si="12"/>
        <v>6933450.830000001</v>
      </c>
      <c r="F193" s="11">
        <f t="shared" ca="1" si="13"/>
        <v>9480376.5899999999</v>
      </c>
      <c r="G193" s="11">
        <f t="shared" ca="1" si="14"/>
        <v>252625.75</v>
      </c>
      <c r="H193" s="11">
        <f t="shared" ca="1" si="15"/>
        <v>100506.82</v>
      </c>
      <c r="I193" s="11">
        <f t="shared" ca="1" si="16"/>
        <v>0</v>
      </c>
      <c r="J193" s="11">
        <f t="shared" ca="1" si="17"/>
        <v>6954819.3400000008</v>
      </c>
      <c r="K193" s="11">
        <f t="shared" ca="1" si="18"/>
        <v>100305628.78000002</v>
      </c>
      <c r="L193" s="11">
        <f t="shared" ca="1" si="19"/>
        <v>319771871.71999997</v>
      </c>
    </row>
    <row r="194" spans="1:12" x14ac:dyDescent="0.35">
      <c r="A194" s="36">
        <v>2019</v>
      </c>
      <c r="B194" s="11">
        <f t="shared" ca="1" si="9"/>
        <v>55206268.700000003</v>
      </c>
      <c r="C194" s="11">
        <f t="shared" ca="1" si="10"/>
        <v>137987540.47999999</v>
      </c>
      <c r="D194" s="11">
        <f t="shared" ca="1" si="11"/>
        <v>6638182.4400000004</v>
      </c>
      <c r="E194" s="11">
        <f t="shared" ca="1" si="12"/>
        <v>6907604.1499999985</v>
      </c>
      <c r="F194" s="11">
        <f t="shared" ca="1" si="13"/>
        <v>10504725.699999999</v>
      </c>
      <c r="G194" s="11">
        <f t="shared" ca="1" si="14"/>
        <v>445345.99000000005</v>
      </c>
      <c r="H194" s="11">
        <f t="shared" ca="1" si="15"/>
        <v>528480.57999999996</v>
      </c>
      <c r="I194" s="11">
        <f t="shared" ca="1" si="16"/>
        <v>0</v>
      </c>
      <c r="J194" s="11">
        <f t="shared" ca="1" si="17"/>
        <v>5549887.2000000011</v>
      </c>
      <c r="K194" s="11">
        <f t="shared" ca="1" si="18"/>
        <v>127092444.78000002</v>
      </c>
      <c r="L194" s="11">
        <f t="shared" ca="1" si="19"/>
        <v>350860480.02000004</v>
      </c>
    </row>
    <row r="195" spans="1:12" x14ac:dyDescent="0.35">
      <c r="A195" s="135">
        <v>2020</v>
      </c>
      <c r="B195" s="11">
        <f t="shared" ca="1" si="9"/>
        <v>46365319.25</v>
      </c>
      <c r="C195" s="11">
        <f t="shared" ca="1" si="10"/>
        <v>129756813.96000001</v>
      </c>
      <c r="D195" s="11">
        <f t="shared" ca="1" si="11"/>
        <v>3324694.82</v>
      </c>
      <c r="E195" s="11">
        <f t="shared" ca="1" si="12"/>
        <v>4732229.33</v>
      </c>
      <c r="F195" s="11">
        <f t="shared" ca="1" si="13"/>
        <v>7745288.5600000005</v>
      </c>
      <c r="G195" s="11">
        <f t="shared" ca="1" si="14"/>
        <v>798059.75</v>
      </c>
      <c r="H195" s="11">
        <f t="shared" ca="1" si="15"/>
        <v>327453.52</v>
      </c>
      <c r="I195" s="11">
        <f t="shared" ca="1" si="16"/>
        <v>17.5</v>
      </c>
      <c r="J195" s="11">
        <f t="shared" ca="1" si="17"/>
        <v>5022714.0199999996</v>
      </c>
      <c r="K195" s="11">
        <f t="shared" ca="1" si="18"/>
        <v>130485483.70999998</v>
      </c>
      <c r="L195" s="11">
        <f t="shared" ca="1" si="19"/>
        <v>328558074.41999996</v>
      </c>
    </row>
    <row r="196" spans="1:12" x14ac:dyDescent="0.35">
      <c r="A196" s="135">
        <v>2021</v>
      </c>
      <c r="B196" s="11">
        <f t="shared" ca="1" si="9"/>
        <v>56815364.25</v>
      </c>
      <c r="C196" s="11">
        <f t="shared" ca="1" si="10"/>
        <v>151942926.69999999</v>
      </c>
      <c r="D196" s="11">
        <f t="shared" ca="1" si="11"/>
        <v>6149604.8800000008</v>
      </c>
      <c r="E196" s="11">
        <f t="shared" ca="1" si="12"/>
        <v>6174957.0499999998</v>
      </c>
      <c r="F196" s="11">
        <f t="shared" ca="1" si="13"/>
        <v>8035075.080000001</v>
      </c>
      <c r="G196" s="11">
        <f t="shared" ca="1" si="14"/>
        <v>451505.01999999996</v>
      </c>
      <c r="H196" s="11">
        <f t="shared" ca="1" si="15"/>
        <v>310682.06999999995</v>
      </c>
      <c r="I196" s="11">
        <f t="shared" ca="1" si="16"/>
        <v>26244</v>
      </c>
      <c r="J196" s="11">
        <f t="shared" ca="1" si="17"/>
        <v>15479901.799999999</v>
      </c>
      <c r="K196" s="11">
        <f t="shared" ca="1" si="18"/>
        <v>157822434.75999999</v>
      </c>
      <c r="L196" s="11">
        <f t="shared" ca="1" si="19"/>
        <v>403208695.60999995</v>
      </c>
    </row>
    <row r="197" spans="1:12" x14ac:dyDescent="0.35">
      <c r="A197" s="135">
        <v>2022</v>
      </c>
      <c r="B197" s="11">
        <f t="shared" ref="B197:L197" si="20">SUM(B146:B157)</f>
        <v>54914571.030000001</v>
      </c>
      <c r="C197" s="11">
        <f t="shared" si="20"/>
        <v>161751320.98000002</v>
      </c>
      <c r="D197" s="11">
        <f t="shared" si="20"/>
        <v>6173050</v>
      </c>
      <c r="E197" s="11">
        <f t="shared" si="20"/>
        <v>6607822.2799999993</v>
      </c>
      <c r="F197" s="11">
        <f t="shared" si="20"/>
        <v>9094185.1600000001</v>
      </c>
      <c r="G197" s="11">
        <f t="shared" si="20"/>
        <v>1212023.94</v>
      </c>
      <c r="H197" s="11">
        <f t="shared" si="20"/>
        <v>409918.78</v>
      </c>
      <c r="I197" s="11">
        <f t="shared" si="20"/>
        <v>1553300</v>
      </c>
      <c r="J197" s="11">
        <f t="shared" si="20"/>
        <v>16287504.510000002</v>
      </c>
      <c r="K197" s="11">
        <f t="shared" si="20"/>
        <v>278365549.39999998</v>
      </c>
      <c r="L197" s="11">
        <f t="shared" si="20"/>
        <v>536369246.08000004</v>
      </c>
    </row>
    <row r="198" spans="1:12" x14ac:dyDescent="0.35">
      <c r="A198" s="135">
        <v>2023</v>
      </c>
      <c r="B198" s="11">
        <f>SUM(B158:B169)</f>
        <v>52713422.030000009</v>
      </c>
      <c r="C198" s="11">
        <f>SUM(C158:C169)</f>
        <v>169010077.39000002</v>
      </c>
      <c r="D198" s="11">
        <f t="shared" ref="D198:L198" si="21">SUM(D158:D169)</f>
        <v>6751496.9400000004</v>
      </c>
      <c r="E198" s="11">
        <f t="shared" si="21"/>
        <v>7194029.1300000008</v>
      </c>
      <c r="F198" s="11">
        <f t="shared" si="21"/>
        <v>8396702.5499999989</v>
      </c>
      <c r="G198" s="11">
        <f t="shared" si="21"/>
        <v>2733225.32</v>
      </c>
      <c r="H198" s="11">
        <f t="shared" si="21"/>
        <v>390027.12</v>
      </c>
      <c r="I198" s="11">
        <f t="shared" si="21"/>
        <v>1616722</v>
      </c>
      <c r="J198" s="11">
        <f t="shared" si="21"/>
        <v>16038625.050000001</v>
      </c>
      <c r="K198" s="11">
        <f t="shared" si="21"/>
        <v>313664225.40000004</v>
      </c>
      <c r="L198" s="11">
        <f t="shared" si="21"/>
        <v>578508552.93000007</v>
      </c>
    </row>
    <row r="199" spans="1:12" ht="15" thickBot="1" x14ac:dyDescent="0.4">
      <c r="A199" s="208" t="s">
        <v>12</v>
      </c>
      <c r="B199" s="46">
        <f>SUM(B170:B181)</f>
        <v>50861532.460000001</v>
      </c>
      <c r="C199" s="46">
        <f>SUM(C170:C181)</f>
        <v>169530883.74000001</v>
      </c>
      <c r="D199" s="46">
        <f t="shared" ref="D199:L199" si="22">SUM(D170:D181)</f>
        <v>5393145.1799999997</v>
      </c>
      <c r="E199" s="46">
        <f t="shared" si="22"/>
        <v>6885620.2700000014</v>
      </c>
      <c r="F199" s="46">
        <f t="shared" si="22"/>
        <v>8449151.8000000007</v>
      </c>
      <c r="G199" s="46">
        <f t="shared" si="22"/>
        <v>6143081.8499999996</v>
      </c>
      <c r="H199" s="46">
        <f t="shared" si="22"/>
        <v>369917.43999999994</v>
      </c>
      <c r="I199" s="46">
        <f t="shared" si="22"/>
        <v>1306389.8599999999</v>
      </c>
      <c r="J199" s="46">
        <f t="shared" si="22"/>
        <v>13833317.599999998</v>
      </c>
      <c r="K199" s="46">
        <f t="shared" si="22"/>
        <v>316876724.04000002</v>
      </c>
      <c r="L199" s="46">
        <f t="shared" si="22"/>
        <v>579649764.24000001</v>
      </c>
    </row>
    <row r="200" spans="1:12" ht="15" thickBot="1" x14ac:dyDescent="0.4">
      <c r="A200" s="16"/>
      <c r="B200" s="12"/>
      <c r="C200" s="12"/>
      <c r="D200" s="12"/>
      <c r="E200" s="12"/>
      <c r="F200" s="12"/>
      <c r="G200" s="12"/>
    </row>
    <row r="201" spans="1:12" ht="15" thickBot="1" x14ac:dyDescent="0.4">
      <c r="A201" s="87"/>
      <c r="B201" s="21" t="s">
        <v>282</v>
      </c>
      <c r="C201" s="21" t="s">
        <v>283</v>
      </c>
      <c r="D201" s="21" t="s">
        <v>284</v>
      </c>
      <c r="E201" s="21" t="s">
        <v>285</v>
      </c>
      <c r="F201" s="21" t="s">
        <v>286</v>
      </c>
      <c r="G201" s="21" t="s">
        <v>293</v>
      </c>
      <c r="H201" s="21" t="s">
        <v>288</v>
      </c>
      <c r="I201" s="21" t="s">
        <v>289</v>
      </c>
      <c r="J201" s="21" t="s">
        <v>290</v>
      </c>
      <c r="K201" s="21" t="s">
        <v>291</v>
      </c>
      <c r="L201" s="21" t="s">
        <v>292</v>
      </c>
    </row>
    <row r="202" spans="1:12" x14ac:dyDescent="0.35">
      <c r="A202" s="188" t="s">
        <v>11</v>
      </c>
      <c r="B202" s="91">
        <f>SUM(B158:B169)</f>
        <v>52713422.030000009</v>
      </c>
      <c r="C202" s="91">
        <f>SUM(C158:C169)</f>
        <v>169010077.39000002</v>
      </c>
      <c r="D202" s="91">
        <f t="shared" ref="D202:L202" si="23">SUM(D158:D169)</f>
        <v>6751496.9400000004</v>
      </c>
      <c r="E202" s="91">
        <f t="shared" si="23"/>
        <v>7194029.1300000008</v>
      </c>
      <c r="F202" s="91">
        <f t="shared" si="23"/>
        <v>8396702.5499999989</v>
      </c>
      <c r="G202" s="91">
        <f t="shared" si="23"/>
        <v>2733225.32</v>
      </c>
      <c r="H202" s="91">
        <f t="shared" si="23"/>
        <v>390027.12</v>
      </c>
      <c r="I202" s="91">
        <f t="shared" si="23"/>
        <v>1616722</v>
      </c>
      <c r="J202" s="91">
        <f t="shared" si="23"/>
        <v>16038625.050000001</v>
      </c>
      <c r="K202" s="91">
        <f t="shared" si="23"/>
        <v>313664225.40000004</v>
      </c>
      <c r="L202" s="91">
        <f t="shared" si="23"/>
        <v>578508552.93000007</v>
      </c>
    </row>
    <row r="203" spans="1:12" x14ac:dyDescent="0.35">
      <c r="A203" s="188" t="s">
        <v>12</v>
      </c>
      <c r="B203" s="91">
        <f>SUM(B170:B181)</f>
        <v>50861532.460000001</v>
      </c>
      <c r="C203" s="91">
        <f>SUM(C170:C181)</f>
        <v>169530883.74000001</v>
      </c>
      <c r="D203" s="91">
        <f t="shared" ref="D203:L203" si="24">SUM(D170:D181)</f>
        <v>5393145.1799999997</v>
      </c>
      <c r="E203" s="91">
        <f t="shared" si="24"/>
        <v>6885620.2700000014</v>
      </c>
      <c r="F203" s="91">
        <f t="shared" si="24"/>
        <v>8449151.8000000007</v>
      </c>
      <c r="G203" s="91">
        <f t="shared" si="24"/>
        <v>6143081.8499999996</v>
      </c>
      <c r="H203" s="91">
        <f t="shared" si="24"/>
        <v>369917.43999999994</v>
      </c>
      <c r="I203" s="91">
        <f t="shared" si="24"/>
        <v>1306389.8599999999</v>
      </c>
      <c r="J203" s="91">
        <f t="shared" si="24"/>
        <v>13833317.599999998</v>
      </c>
      <c r="K203" s="91">
        <f t="shared" si="24"/>
        <v>316876724.04000002</v>
      </c>
      <c r="L203" s="91">
        <f t="shared" si="24"/>
        <v>579649764.24000001</v>
      </c>
    </row>
    <row r="204" spans="1:12" ht="29.5" thickBot="1" x14ac:dyDescent="0.4">
      <c r="A204" s="83" t="s">
        <v>28</v>
      </c>
      <c r="B204" s="92">
        <f>(B203-B202)/B202</f>
        <v>-3.5131272049575328E-2</v>
      </c>
      <c r="C204" s="92">
        <f t="shared" ref="C204:L204" si="25">(C203-C202)/C202</f>
        <v>3.0815106296780449E-3</v>
      </c>
      <c r="D204" s="92">
        <f t="shared" si="25"/>
        <v>-0.20119267950079239</v>
      </c>
      <c r="E204" s="92">
        <f t="shared" si="25"/>
        <v>-4.2870115539829536E-2</v>
      </c>
      <c r="F204" s="92">
        <f t="shared" si="25"/>
        <v>6.2464103840384191E-3</v>
      </c>
      <c r="G204" s="92">
        <f t="shared" si="25"/>
        <v>1.2475577864176965</v>
      </c>
      <c r="H204" s="92">
        <f t="shared" si="25"/>
        <v>-5.155969666929841E-2</v>
      </c>
      <c r="I204" s="92">
        <f t="shared" si="25"/>
        <v>-0.19195145485742146</v>
      </c>
      <c r="J204" s="92">
        <f t="shared" si="25"/>
        <v>-0.13749978212752115</v>
      </c>
      <c r="K204" s="92">
        <f t="shared" si="25"/>
        <v>1.0241839457155975E-2</v>
      </c>
      <c r="L204" s="92">
        <f t="shared" si="25"/>
        <v>1.9726783713395332E-3</v>
      </c>
    </row>
    <row r="205" spans="1:12" ht="15" thickBot="1" x14ac:dyDescent="0.4">
      <c r="A205" s="16"/>
      <c r="B205" s="12"/>
      <c r="C205" s="12"/>
      <c r="D205" s="12"/>
      <c r="E205" s="12"/>
      <c r="F205" s="12"/>
      <c r="G205" s="12"/>
    </row>
    <row r="206" spans="1:12" ht="15" thickBot="1" x14ac:dyDescent="0.4">
      <c r="A206" s="20"/>
      <c r="B206" s="38" t="s">
        <v>282</v>
      </c>
      <c r="C206" s="39" t="s">
        <v>283</v>
      </c>
      <c r="D206" s="40" t="s">
        <v>284</v>
      </c>
      <c r="E206" s="40" t="s">
        <v>285</v>
      </c>
      <c r="F206" s="40" t="s">
        <v>286</v>
      </c>
      <c r="G206" s="40" t="s">
        <v>293</v>
      </c>
      <c r="H206" s="40" t="s">
        <v>288</v>
      </c>
      <c r="I206" s="41" t="s">
        <v>289</v>
      </c>
      <c r="J206" s="38" t="s">
        <v>290</v>
      </c>
      <c r="K206" s="38" t="s">
        <v>291</v>
      </c>
      <c r="L206" s="38" t="s">
        <v>292</v>
      </c>
    </row>
    <row r="207" spans="1:12" ht="29" x14ac:dyDescent="0.35">
      <c r="A207" s="47" t="s">
        <v>17</v>
      </c>
      <c r="B207" s="90">
        <f>B169</f>
        <v>3531233.31</v>
      </c>
      <c r="C207" s="90">
        <f>C169</f>
        <v>14591867.74</v>
      </c>
      <c r="D207" s="90">
        <f t="shared" ref="D207:L207" si="26">D169</f>
        <v>725158.54</v>
      </c>
      <c r="E207" s="90">
        <f t="shared" si="26"/>
        <v>685939.94</v>
      </c>
      <c r="F207" s="90">
        <f t="shared" si="26"/>
        <v>879330.76</v>
      </c>
      <c r="G207" s="90">
        <f t="shared" si="26"/>
        <v>446340.38</v>
      </c>
      <c r="H207" s="90">
        <f t="shared" si="26"/>
        <v>23280.28</v>
      </c>
      <c r="I207" s="90">
        <f t="shared" si="26"/>
        <v>131637</v>
      </c>
      <c r="J207" s="90">
        <f t="shared" si="26"/>
        <v>1673471.55</v>
      </c>
      <c r="K207" s="90">
        <f t="shared" si="26"/>
        <v>27173948</v>
      </c>
      <c r="L207" s="90">
        <f t="shared" si="26"/>
        <v>49862207.5</v>
      </c>
    </row>
    <row r="208" spans="1:12" ht="29" x14ac:dyDescent="0.35">
      <c r="A208" s="84" t="s">
        <v>18</v>
      </c>
      <c r="B208" s="91">
        <f>B181</f>
        <v>3151188.64</v>
      </c>
      <c r="C208" s="91">
        <f>C181</f>
        <v>17079035.350000001</v>
      </c>
      <c r="D208" s="91">
        <f t="shared" ref="D208:L208" si="27">D181</f>
        <v>541580.49</v>
      </c>
      <c r="E208" s="91">
        <f t="shared" si="27"/>
        <v>648668.52</v>
      </c>
      <c r="F208" s="91">
        <f t="shared" si="27"/>
        <v>803191.92</v>
      </c>
      <c r="G208" s="91">
        <f t="shared" si="27"/>
        <v>515005.34</v>
      </c>
      <c r="H208" s="91">
        <f t="shared" si="27"/>
        <v>21392.6</v>
      </c>
      <c r="I208" s="91">
        <f t="shared" si="27"/>
        <v>86817.4</v>
      </c>
      <c r="J208" s="91">
        <f t="shared" si="27"/>
        <v>1481127.62</v>
      </c>
      <c r="K208" s="91">
        <f t="shared" si="27"/>
        <v>32768245.16</v>
      </c>
      <c r="L208" s="91">
        <f t="shared" si="27"/>
        <v>57096253.040000007</v>
      </c>
    </row>
    <row r="209" spans="1:12" ht="29.5" thickBot="1" x14ac:dyDescent="0.4">
      <c r="A209" s="83" t="s">
        <v>28</v>
      </c>
      <c r="B209" s="92">
        <f>(B208-B207)/B207</f>
        <v>-0.10762377805050778</v>
      </c>
      <c r="C209" s="89">
        <f t="shared" ref="C209:K209" si="28">(C208-C207)/C207</f>
        <v>0.17044888662073368</v>
      </c>
      <c r="D209" s="92">
        <f t="shared" si="28"/>
        <v>-0.25315574439763205</v>
      </c>
      <c r="E209" s="89">
        <f t="shared" si="28"/>
        <v>-5.433627323115188E-2</v>
      </c>
      <c r="F209" s="92">
        <f t="shared" si="28"/>
        <v>-8.6587258701151276E-2</v>
      </c>
      <c r="G209" s="89">
        <f t="shared" si="28"/>
        <v>0.1538399012878916</v>
      </c>
      <c r="H209" s="92">
        <f>(H208-H207)/H207</f>
        <v>-8.108493540455701E-2</v>
      </c>
      <c r="I209" s="89">
        <f>(I208-I207)/I207</f>
        <v>-0.34047874077956808</v>
      </c>
      <c r="J209" s="92">
        <f t="shared" ref="J209" si="29">(J208-J207)/J207</f>
        <v>-0.11493707795629984</v>
      </c>
      <c r="K209" s="89">
        <f t="shared" si="28"/>
        <v>0.20586987065699838</v>
      </c>
      <c r="L209" s="92">
        <f>(L208-L207)/L207</f>
        <v>0.14508073153399809</v>
      </c>
    </row>
    <row r="212" spans="1:12" x14ac:dyDescent="0.35">
      <c r="B212" s="122"/>
      <c r="C212" s="122"/>
      <c r="D212" s="122"/>
      <c r="E212" s="122"/>
      <c r="F212" s="122"/>
      <c r="G212" s="122"/>
      <c r="H212" s="122"/>
    </row>
    <row r="213" spans="1:12" x14ac:dyDescent="0.35">
      <c r="B213" s="122"/>
      <c r="C213" s="122"/>
      <c r="D213" s="122"/>
      <c r="E213" s="122"/>
      <c r="F213" s="122"/>
      <c r="G213" s="122"/>
      <c r="H213" s="122"/>
    </row>
    <row r="214" spans="1:12" x14ac:dyDescent="0.35">
      <c r="B214" s="122"/>
      <c r="C214" s="122"/>
      <c r="D214" s="122"/>
      <c r="E214" s="122"/>
      <c r="F214" s="122"/>
      <c r="G214" s="122"/>
      <c r="H214" s="122"/>
      <c r="I214" s="122"/>
      <c r="J214" s="122"/>
      <c r="K214" s="122"/>
    </row>
    <row r="215" spans="1:12" x14ac:dyDescent="0.35">
      <c r="B215" s="123"/>
      <c r="C215" s="123"/>
      <c r="D215" s="123"/>
      <c r="E215" s="123"/>
      <c r="F215" s="123"/>
      <c r="G215" s="123"/>
      <c r="H215" s="123"/>
      <c r="I215" s="122"/>
      <c r="J215" s="122"/>
      <c r="K215" s="122"/>
    </row>
  </sheetData>
  <pageMargins left="0.7" right="0.7" top="0.75" bottom="0.75" header="0.3" footer="0.3"/>
  <pageSetup orientation="portrait" horizontalDpi="300" verticalDpi="300" r:id="rId1"/>
  <ignoredErrors>
    <ignoredError sqref="L2:L101 B185:K185 L103:L104 L106:L110 L113:L121 L122:L145 L146:L149 B197:K197 L151:L157" formulaRange="1"/>
    <ignoredError sqref="I204:I206 I209"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09"/>
  <sheetViews>
    <sheetView workbookViewId="0">
      <pane ySplit="1" topLeftCell="A166" activePane="bottomLeft" state="frozen"/>
      <selection pane="bottomLeft" activeCell="J184" sqref="J184"/>
    </sheetView>
  </sheetViews>
  <sheetFormatPr defaultColWidth="15" defaultRowHeight="14.5" x14ac:dyDescent="0.35"/>
  <cols>
    <col min="1" max="1" width="14.453125" bestFit="1" customWidth="1"/>
    <col min="2" max="2" width="10.453125" bestFit="1" customWidth="1"/>
    <col min="3" max="4" width="12.81640625" bestFit="1" customWidth="1"/>
    <col min="5" max="5" width="11.453125" bestFit="1" customWidth="1"/>
    <col min="6" max="6" width="10.54296875" bestFit="1" customWidth="1"/>
    <col min="7" max="7" width="13.453125" bestFit="1" customWidth="1"/>
    <col min="8" max="8" width="23.81640625" bestFit="1" customWidth="1"/>
  </cols>
  <sheetData>
    <row r="1" spans="1:8" ht="22.5" customHeight="1" x14ac:dyDescent="0.35">
      <c r="A1" s="32" t="s">
        <v>0</v>
      </c>
      <c r="B1" s="33" t="s">
        <v>294</v>
      </c>
      <c r="C1" s="34" t="s">
        <v>295</v>
      </c>
      <c r="D1" s="35" t="s">
        <v>296</v>
      </c>
      <c r="E1" s="35" t="s">
        <v>297</v>
      </c>
      <c r="F1" s="35" t="s">
        <v>298</v>
      </c>
      <c r="G1" s="35" t="s">
        <v>299</v>
      </c>
      <c r="H1" s="35" t="s">
        <v>300</v>
      </c>
    </row>
    <row r="2" spans="1:8" x14ac:dyDescent="0.35">
      <c r="A2" s="7">
        <v>40179</v>
      </c>
      <c r="B2" s="11">
        <v>453117</v>
      </c>
      <c r="C2" s="9">
        <v>1257</v>
      </c>
      <c r="D2" s="10">
        <v>1078</v>
      </c>
      <c r="E2" s="10">
        <v>173123</v>
      </c>
      <c r="F2" s="10">
        <v>0</v>
      </c>
      <c r="G2" s="10">
        <v>1771230</v>
      </c>
      <c r="H2" s="10">
        <f t="shared" ref="H2:H33" si="0">SUM(B2:G2)</f>
        <v>2399805</v>
      </c>
    </row>
    <row r="3" spans="1:8" x14ac:dyDescent="0.35">
      <c r="A3" s="7">
        <v>40210</v>
      </c>
      <c r="B3" s="11">
        <v>577667</v>
      </c>
      <c r="C3" s="9">
        <v>1366</v>
      </c>
      <c r="D3" s="10">
        <v>0</v>
      </c>
      <c r="E3" s="10">
        <v>541907</v>
      </c>
      <c r="F3" s="10">
        <v>0</v>
      </c>
      <c r="G3" s="10">
        <v>2396019</v>
      </c>
      <c r="H3" s="10">
        <f t="shared" si="0"/>
        <v>3516959</v>
      </c>
    </row>
    <row r="4" spans="1:8" x14ac:dyDescent="0.35">
      <c r="A4" s="7">
        <v>40238</v>
      </c>
      <c r="B4" s="11">
        <v>722358</v>
      </c>
      <c r="C4" s="9">
        <v>1259</v>
      </c>
      <c r="D4" s="10">
        <v>24755</v>
      </c>
      <c r="E4" s="10">
        <v>538130</v>
      </c>
      <c r="F4" s="10">
        <v>2835</v>
      </c>
      <c r="G4" s="10">
        <v>2472724</v>
      </c>
      <c r="H4" s="10">
        <f t="shared" si="0"/>
        <v>3762061</v>
      </c>
    </row>
    <row r="5" spans="1:8" x14ac:dyDescent="0.35">
      <c r="A5" s="7">
        <v>40269</v>
      </c>
      <c r="B5" s="11">
        <v>598281</v>
      </c>
      <c r="C5" s="9">
        <v>1067</v>
      </c>
      <c r="D5" s="10">
        <v>28846</v>
      </c>
      <c r="E5" s="10">
        <v>425908</v>
      </c>
      <c r="F5" s="10">
        <v>1564</v>
      </c>
      <c r="G5" s="10">
        <v>1795761</v>
      </c>
      <c r="H5" s="10">
        <f t="shared" si="0"/>
        <v>2851427</v>
      </c>
    </row>
    <row r="6" spans="1:8" x14ac:dyDescent="0.35">
      <c r="A6" s="7">
        <v>40299</v>
      </c>
      <c r="B6" s="11">
        <v>532570</v>
      </c>
      <c r="C6" s="9">
        <v>6289</v>
      </c>
      <c r="D6" s="10">
        <v>739</v>
      </c>
      <c r="E6" s="10">
        <v>764963</v>
      </c>
      <c r="F6" s="10">
        <v>0</v>
      </c>
      <c r="G6" s="10">
        <v>3523648</v>
      </c>
      <c r="H6" s="10">
        <f t="shared" si="0"/>
        <v>4828209</v>
      </c>
    </row>
    <row r="7" spans="1:8" x14ac:dyDescent="0.35">
      <c r="A7" s="7">
        <v>40330</v>
      </c>
      <c r="B7" s="11">
        <v>599708</v>
      </c>
      <c r="C7" s="9">
        <v>11423</v>
      </c>
      <c r="D7" s="10">
        <v>74364</v>
      </c>
      <c r="E7" s="10">
        <v>456938</v>
      </c>
      <c r="F7" s="10">
        <v>7104</v>
      </c>
      <c r="G7" s="10">
        <v>2590269</v>
      </c>
      <c r="H7" s="10">
        <f t="shared" si="0"/>
        <v>3739806</v>
      </c>
    </row>
    <row r="8" spans="1:8" x14ac:dyDescent="0.35">
      <c r="A8" s="7">
        <v>40360</v>
      </c>
      <c r="B8" s="11">
        <v>516463</v>
      </c>
      <c r="C8" s="9">
        <v>2304</v>
      </c>
      <c r="D8" s="10">
        <v>3557</v>
      </c>
      <c r="E8" s="10">
        <v>386525</v>
      </c>
      <c r="F8" s="10">
        <v>0</v>
      </c>
      <c r="G8" s="10">
        <v>2285990</v>
      </c>
      <c r="H8" s="10">
        <f t="shared" si="0"/>
        <v>3194839</v>
      </c>
    </row>
    <row r="9" spans="1:8" x14ac:dyDescent="0.35">
      <c r="A9" s="7">
        <v>40391</v>
      </c>
      <c r="B9" s="11">
        <v>558265</v>
      </c>
      <c r="C9" s="9">
        <v>5900</v>
      </c>
      <c r="D9" s="10">
        <v>107971</v>
      </c>
      <c r="E9" s="10">
        <v>812053</v>
      </c>
      <c r="F9" s="10">
        <v>0</v>
      </c>
      <c r="G9" s="10">
        <v>2432609</v>
      </c>
      <c r="H9" s="10">
        <f t="shared" si="0"/>
        <v>3916798</v>
      </c>
    </row>
    <row r="10" spans="1:8" x14ac:dyDescent="0.35">
      <c r="A10" s="7">
        <v>40422</v>
      </c>
      <c r="B10" s="11">
        <v>637313</v>
      </c>
      <c r="C10" s="9">
        <v>1293</v>
      </c>
      <c r="D10" s="10">
        <v>51575</v>
      </c>
      <c r="E10" s="10">
        <v>472099</v>
      </c>
      <c r="F10" s="10">
        <v>19535</v>
      </c>
      <c r="G10" s="10">
        <v>2751201</v>
      </c>
      <c r="H10" s="10">
        <f t="shared" si="0"/>
        <v>3933016</v>
      </c>
    </row>
    <row r="11" spans="1:8" x14ac:dyDescent="0.35">
      <c r="A11" s="7">
        <v>40452</v>
      </c>
      <c r="B11" s="11">
        <v>576981</v>
      </c>
      <c r="C11" s="9">
        <v>6457</v>
      </c>
      <c r="D11" s="10">
        <v>815</v>
      </c>
      <c r="E11" s="10">
        <v>451466</v>
      </c>
      <c r="F11" s="10">
        <v>0</v>
      </c>
      <c r="G11" s="10">
        <v>2993820</v>
      </c>
      <c r="H11" s="10">
        <f t="shared" si="0"/>
        <v>4029539</v>
      </c>
    </row>
    <row r="12" spans="1:8" x14ac:dyDescent="0.35">
      <c r="A12" s="7">
        <v>40483</v>
      </c>
      <c r="B12" s="11">
        <v>496581</v>
      </c>
      <c r="C12" s="9">
        <v>0</v>
      </c>
      <c r="D12" s="10">
        <v>4040</v>
      </c>
      <c r="E12" s="10">
        <v>324298</v>
      </c>
      <c r="F12" s="10">
        <v>0</v>
      </c>
      <c r="G12" s="10">
        <v>2504879</v>
      </c>
      <c r="H12" s="10">
        <f t="shared" si="0"/>
        <v>3329798</v>
      </c>
    </row>
    <row r="13" spans="1:8" x14ac:dyDescent="0.35">
      <c r="A13" s="7">
        <v>40513</v>
      </c>
      <c r="B13" s="11">
        <v>555934</v>
      </c>
      <c r="C13" s="9">
        <v>1296</v>
      </c>
      <c r="D13" s="10">
        <v>26581</v>
      </c>
      <c r="E13" s="10">
        <v>554178</v>
      </c>
      <c r="F13" s="10">
        <v>15784</v>
      </c>
      <c r="G13" s="10">
        <v>2747858</v>
      </c>
      <c r="H13" s="10">
        <f t="shared" si="0"/>
        <v>3901631</v>
      </c>
    </row>
    <row r="14" spans="1:8" x14ac:dyDescent="0.35">
      <c r="A14" s="7">
        <v>40544</v>
      </c>
      <c r="B14" s="11">
        <v>448910</v>
      </c>
      <c r="C14" s="9">
        <v>0</v>
      </c>
      <c r="D14" s="10">
        <v>6058</v>
      </c>
      <c r="E14" s="10">
        <v>516355</v>
      </c>
      <c r="F14" s="10">
        <v>0</v>
      </c>
      <c r="G14" s="10">
        <v>2180022</v>
      </c>
      <c r="H14" s="10">
        <f t="shared" si="0"/>
        <v>3151345</v>
      </c>
    </row>
    <row r="15" spans="1:8" x14ac:dyDescent="0.35">
      <c r="A15" s="7">
        <v>40575</v>
      </c>
      <c r="B15" s="11">
        <v>493687</v>
      </c>
      <c r="C15" s="9">
        <v>0</v>
      </c>
      <c r="D15" s="10">
        <v>2499</v>
      </c>
      <c r="E15" s="10">
        <v>421436</v>
      </c>
      <c r="F15" s="10">
        <v>0</v>
      </c>
      <c r="G15" s="10">
        <v>6654749</v>
      </c>
      <c r="H15" s="10">
        <f t="shared" si="0"/>
        <v>7572371</v>
      </c>
    </row>
    <row r="16" spans="1:8" x14ac:dyDescent="0.35">
      <c r="A16" s="7">
        <v>40603</v>
      </c>
      <c r="B16" s="11">
        <v>747800</v>
      </c>
      <c r="C16" s="9">
        <v>0</v>
      </c>
      <c r="D16" s="10">
        <v>125598</v>
      </c>
      <c r="E16" s="10">
        <v>515706</v>
      </c>
      <c r="F16" s="10">
        <v>6499</v>
      </c>
      <c r="G16" s="10">
        <v>3560519</v>
      </c>
      <c r="H16" s="10">
        <f t="shared" si="0"/>
        <v>4956122</v>
      </c>
    </row>
    <row r="17" spans="1:8" x14ac:dyDescent="0.35">
      <c r="A17" s="7">
        <v>40634</v>
      </c>
      <c r="B17" s="11">
        <v>731915</v>
      </c>
      <c r="C17" s="9">
        <v>4410</v>
      </c>
      <c r="D17" s="10">
        <v>2864</v>
      </c>
      <c r="E17" s="10">
        <v>712394</v>
      </c>
      <c r="F17" s="10">
        <v>0</v>
      </c>
      <c r="G17" s="10">
        <v>2690154</v>
      </c>
      <c r="H17" s="10">
        <f t="shared" si="0"/>
        <v>4141737</v>
      </c>
    </row>
    <row r="18" spans="1:8" x14ac:dyDescent="0.35">
      <c r="A18" s="7">
        <v>40664</v>
      </c>
      <c r="B18" s="11">
        <v>629238</v>
      </c>
      <c r="C18" s="9">
        <v>344</v>
      </c>
      <c r="D18" s="10">
        <v>2369</v>
      </c>
      <c r="E18" s="10">
        <v>609413</v>
      </c>
      <c r="F18" s="10">
        <v>0</v>
      </c>
      <c r="G18" s="10">
        <v>2545176</v>
      </c>
      <c r="H18" s="10">
        <f t="shared" si="0"/>
        <v>3786540</v>
      </c>
    </row>
    <row r="19" spans="1:8" x14ac:dyDescent="0.35">
      <c r="A19" s="7">
        <v>40695</v>
      </c>
      <c r="B19" s="11">
        <v>587379</v>
      </c>
      <c r="C19" s="9">
        <v>6045</v>
      </c>
      <c r="D19" s="10">
        <v>67117</v>
      </c>
      <c r="E19" s="10">
        <v>494180</v>
      </c>
      <c r="F19" s="10">
        <v>16426</v>
      </c>
      <c r="G19" s="10">
        <v>3511585</v>
      </c>
      <c r="H19" s="10">
        <f t="shared" si="0"/>
        <v>4682732</v>
      </c>
    </row>
    <row r="20" spans="1:8" x14ac:dyDescent="0.35">
      <c r="A20" s="7">
        <v>40725</v>
      </c>
      <c r="B20" s="11">
        <v>516463</v>
      </c>
      <c r="C20" s="9">
        <v>2304</v>
      </c>
      <c r="D20" s="10">
        <v>3557</v>
      </c>
      <c r="E20" s="10">
        <v>386525</v>
      </c>
      <c r="F20" s="10">
        <v>0</v>
      </c>
      <c r="G20" s="10">
        <v>2285990</v>
      </c>
      <c r="H20" s="10">
        <f t="shared" si="0"/>
        <v>3194839</v>
      </c>
    </row>
    <row r="21" spans="1:8" x14ac:dyDescent="0.35">
      <c r="A21" s="7">
        <v>40756</v>
      </c>
      <c r="B21" s="11">
        <v>666346</v>
      </c>
      <c r="C21" s="9">
        <v>562</v>
      </c>
      <c r="D21" s="10">
        <v>1704</v>
      </c>
      <c r="E21" s="10">
        <v>571832</v>
      </c>
      <c r="F21" s="10">
        <v>0</v>
      </c>
      <c r="G21" s="10">
        <v>2593847</v>
      </c>
      <c r="H21" s="10">
        <f t="shared" si="0"/>
        <v>3834291</v>
      </c>
    </row>
    <row r="22" spans="1:8" x14ac:dyDescent="0.35">
      <c r="A22" s="7">
        <v>40787</v>
      </c>
      <c r="B22" s="11">
        <v>637832</v>
      </c>
      <c r="C22" s="9">
        <v>6202</v>
      </c>
      <c r="D22" s="10">
        <v>64012</v>
      </c>
      <c r="E22" s="10">
        <v>634034</v>
      </c>
      <c r="F22" s="10">
        <v>14843</v>
      </c>
      <c r="G22" s="10">
        <v>2840504</v>
      </c>
      <c r="H22" s="10">
        <f t="shared" si="0"/>
        <v>4197427</v>
      </c>
    </row>
    <row r="23" spans="1:8" x14ac:dyDescent="0.35">
      <c r="A23" s="7">
        <v>40817</v>
      </c>
      <c r="B23" s="11">
        <v>617899</v>
      </c>
      <c r="C23" s="9">
        <v>10491</v>
      </c>
      <c r="D23" s="10">
        <v>6642</v>
      </c>
      <c r="E23" s="10">
        <v>519342</v>
      </c>
      <c r="F23" s="10">
        <v>0</v>
      </c>
      <c r="G23" s="10">
        <v>2900550</v>
      </c>
      <c r="H23" s="10">
        <f t="shared" si="0"/>
        <v>4054924</v>
      </c>
    </row>
    <row r="24" spans="1:8" x14ac:dyDescent="0.35">
      <c r="A24" s="7">
        <v>40848</v>
      </c>
      <c r="B24" s="11">
        <v>527421</v>
      </c>
      <c r="C24" s="9">
        <v>6008</v>
      </c>
      <c r="D24" s="10">
        <v>0</v>
      </c>
      <c r="E24" s="10">
        <v>699911</v>
      </c>
      <c r="F24" s="10">
        <v>0</v>
      </c>
      <c r="G24" s="10">
        <v>2577147</v>
      </c>
      <c r="H24" s="10">
        <f t="shared" si="0"/>
        <v>3810487</v>
      </c>
    </row>
    <row r="25" spans="1:8" x14ac:dyDescent="0.35">
      <c r="A25" s="7">
        <v>40878</v>
      </c>
      <c r="B25" s="11">
        <v>546316</v>
      </c>
      <c r="C25" s="9">
        <v>3888</v>
      </c>
      <c r="D25" s="10">
        <v>33749</v>
      </c>
      <c r="E25" s="10">
        <v>628877</v>
      </c>
      <c r="F25" s="10">
        <v>4299</v>
      </c>
      <c r="G25" s="10">
        <v>3853193</v>
      </c>
      <c r="H25" s="10">
        <f t="shared" si="0"/>
        <v>5070322</v>
      </c>
    </row>
    <row r="26" spans="1:8" x14ac:dyDescent="0.35">
      <c r="A26" s="7">
        <v>40909</v>
      </c>
      <c r="B26" s="11">
        <v>529038</v>
      </c>
      <c r="C26" s="9">
        <v>0</v>
      </c>
      <c r="D26" s="10">
        <v>600</v>
      </c>
      <c r="E26" s="10">
        <v>412387</v>
      </c>
      <c r="F26" s="10">
        <v>900</v>
      </c>
      <c r="G26" s="10">
        <v>1713261</v>
      </c>
      <c r="H26" s="10">
        <f t="shared" si="0"/>
        <v>2656186</v>
      </c>
    </row>
    <row r="27" spans="1:8" x14ac:dyDescent="0.35">
      <c r="A27" s="7">
        <v>40940</v>
      </c>
      <c r="B27" s="11">
        <v>634176</v>
      </c>
      <c r="C27" s="9">
        <v>0</v>
      </c>
      <c r="D27" s="10">
        <v>0</v>
      </c>
      <c r="E27" s="10">
        <v>496533</v>
      </c>
      <c r="F27" s="10">
        <v>0</v>
      </c>
      <c r="G27" s="10">
        <v>2672231</v>
      </c>
      <c r="H27" s="10">
        <f t="shared" si="0"/>
        <v>3802940</v>
      </c>
    </row>
    <row r="28" spans="1:8" x14ac:dyDescent="0.35">
      <c r="A28" s="7">
        <v>40969</v>
      </c>
      <c r="B28" s="11">
        <v>765793</v>
      </c>
      <c r="C28" s="9">
        <v>9056</v>
      </c>
      <c r="D28" s="10">
        <v>0</v>
      </c>
      <c r="E28" s="10">
        <v>1299898</v>
      </c>
      <c r="F28" s="10">
        <v>6725</v>
      </c>
      <c r="G28" s="10">
        <v>2930868</v>
      </c>
      <c r="H28" s="10">
        <f t="shared" si="0"/>
        <v>5012340</v>
      </c>
    </row>
    <row r="29" spans="1:8" x14ac:dyDescent="0.35">
      <c r="A29" s="7">
        <v>41000</v>
      </c>
      <c r="B29" s="11">
        <v>818996</v>
      </c>
      <c r="C29" s="9">
        <v>4383</v>
      </c>
      <c r="D29" s="10">
        <v>12250</v>
      </c>
      <c r="E29" s="10">
        <v>416070</v>
      </c>
      <c r="F29" s="10">
        <v>0</v>
      </c>
      <c r="G29" s="10">
        <v>1978825</v>
      </c>
      <c r="H29" s="10">
        <f t="shared" si="0"/>
        <v>3230524</v>
      </c>
    </row>
    <row r="30" spans="1:8" x14ac:dyDescent="0.35">
      <c r="A30" s="7">
        <v>41030</v>
      </c>
      <c r="B30" s="11">
        <v>872839</v>
      </c>
      <c r="C30" s="9">
        <v>2188</v>
      </c>
      <c r="D30" s="10">
        <v>0</v>
      </c>
      <c r="E30" s="10">
        <v>576727</v>
      </c>
      <c r="F30" s="10">
        <v>0</v>
      </c>
      <c r="G30" s="10">
        <v>2553745</v>
      </c>
      <c r="H30" s="10">
        <f t="shared" si="0"/>
        <v>4005499</v>
      </c>
    </row>
    <row r="31" spans="1:8" x14ac:dyDescent="0.35">
      <c r="A31" s="7">
        <v>41061</v>
      </c>
      <c r="B31" s="11">
        <v>835449</v>
      </c>
      <c r="C31" s="9">
        <v>28268</v>
      </c>
      <c r="D31" s="10">
        <v>17532</v>
      </c>
      <c r="E31" s="10">
        <v>638306</v>
      </c>
      <c r="F31" s="10">
        <v>10266</v>
      </c>
      <c r="G31" s="10">
        <v>4170826</v>
      </c>
      <c r="H31" s="10">
        <f t="shared" si="0"/>
        <v>5700647</v>
      </c>
    </row>
    <row r="32" spans="1:8" x14ac:dyDescent="0.35">
      <c r="A32" s="7">
        <v>41091</v>
      </c>
      <c r="B32" s="11">
        <v>486467</v>
      </c>
      <c r="C32" s="9">
        <v>0</v>
      </c>
      <c r="D32" s="10">
        <v>0</v>
      </c>
      <c r="E32" s="10">
        <v>425068</v>
      </c>
      <c r="F32" s="10">
        <v>0</v>
      </c>
      <c r="G32" s="10">
        <v>2965286</v>
      </c>
      <c r="H32" s="10">
        <f t="shared" si="0"/>
        <v>3876821</v>
      </c>
    </row>
    <row r="33" spans="1:8" x14ac:dyDescent="0.35">
      <c r="A33" s="7">
        <v>41122</v>
      </c>
      <c r="B33" s="11">
        <v>556368</v>
      </c>
      <c r="C33" s="9">
        <v>21359</v>
      </c>
      <c r="D33" s="10">
        <v>0</v>
      </c>
      <c r="E33" s="10">
        <v>455488</v>
      </c>
      <c r="F33" s="10">
        <v>0</v>
      </c>
      <c r="G33" s="10">
        <v>3214233</v>
      </c>
      <c r="H33" s="10">
        <f t="shared" si="0"/>
        <v>4247448</v>
      </c>
    </row>
    <row r="34" spans="1:8" x14ac:dyDescent="0.35">
      <c r="A34" s="7">
        <v>41153</v>
      </c>
      <c r="B34" s="11">
        <v>479054</v>
      </c>
      <c r="C34" s="9">
        <v>22010</v>
      </c>
      <c r="D34" s="10">
        <v>8821</v>
      </c>
      <c r="E34" s="10">
        <v>754798</v>
      </c>
      <c r="F34" s="10">
        <v>12237</v>
      </c>
      <c r="G34" s="10">
        <v>3203403</v>
      </c>
      <c r="H34" s="10">
        <f t="shared" ref="H34:H65" si="1">SUM(B34:G34)</f>
        <v>4480323</v>
      </c>
    </row>
    <row r="35" spans="1:8" x14ac:dyDescent="0.35">
      <c r="A35" s="7">
        <v>41183</v>
      </c>
      <c r="B35" s="11">
        <v>664350</v>
      </c>
      <c r="C35" s="9">
        <v>328832</v>
      </c>
      <c r="D35" s="10">
        <v>0</v>
      </c>
      <c r="E35" s="10">
        <v>1338533</v>
      </c>
      <c r="F35" s="10">
        <v>0</v>
      </c>
      <c r="G35" s="10">
        <v>2453125</v>
      </c>
      <c r="H35" s="10">
        <f t="shared" si="1"/>
        <v>4784840</v>
      </c>
    </row>
    <row r="36" spans="1:8" x14ac:dyDescent="0.35">
      <c r="A36" s="7">
        <v>41214</v>
      </c>
      <c r="B36" s="11">
        <v>587500</v>
      </c>
      <c r="C36" s="9">
        <v>649</v>
      </c>
      <c r="D36" s="10">
        <v>0</v>
      </c>
      <c r="E36" s="10">
        <v>311890</v>
      </c>
      <c r="F36" s="10">
        <v>0</v>
      </c>
      <c r="G36" s="10">
        <v>2975501</v>
      </c>
      <c r="H36" s="10">
        <f t="shared" si="1"/>
        <v>3875540</v>
      </c>
    </row>
    <row r="37" spans="1:8" x14ac:dyDescent="0.35">
      <c r="A37" s="7">
        <v>41244</v>
      </c>
      <c r="B37" s="11">
        <v>528801</v>
      </c>
      <c r="C37" s="9">
        <v>0</v>
      </c>
      <c r="D37" s="10">
        <v>12465</v>
      </c>
      <c r="E37" s="10">
        <v>525435</v>
      </c>
      <c r="F37" s="10">
        <v>4932</v>
      </c>
      <c r="G37" s="10">
        <v>3802551</v>
      </c>
      <c r="H37" s="10">
        <f t="shared" si="1"/>
        <v>4874184</v>
      </c>
    </row>
    <row r="38" spans="1:8" x14ac:dyDescent="0.35">
      <c r="A38" s="7">
        <v>41275</v>
      </c>
      <c r="B38" s="11">
        <v>479974</v>
      </c>
      <c r="C38" s="9">
        <v>0</v>
      </c>
      <c r="D38" s="10">
        <v>0</v>
      </c>
      <c r="E38" s="10">
        <v>537766</v>
      </c>
      <c r="F38" s="10">
        <v>0</v>
      </c>
      <c r="G38" s="10">
        <v>3335911</v>
      </c>
      <c r="H38" s="10">
        <f t="shared" si="1"/>
        <v>4353651</v>
      </c>
    </row>
    <row r="39" spans="1:8" x14ac:dyDescent="0.35">
      <c r="A39" s="7">
        <v>41306</v>
      </c>
      <c r="B39" s="11">
        <v>631859</v>
      </c>
      <c r="C39" s="9">
        <v>0</v>
      </c>
      <c r="D39" s="10">
        <v>0</v>
      </c>
      <c r="E39" s="10">
        <v>430692</v>
      </c>
      <c r="F39" s="10">
        <v>0</v>
      </c>
      <c r="G39" s="10">
        <v>2466912</v>
      </c>
      <c r="H39" s="10">
        <f t="shared" si="1"/>
        <v>3529463</v>
      </c>
    </row>
    <row r="40" spans="1:8" x14ac:dyDescent="0.35">
      <c r="A40" s="7">
        <v>41334</v>
      </c>
      <c r="B40" s="11">
        <v>518589</v>
      </c>
      <c r="C40" s="9">
        <v>0</v>
      </c>
      <c r="D40" s="10">
        <v>0</v>
      </c>
      <c r="E40" s="10">
        <v>758859</v>
      </c>
      <c r="F40" s="10">
        <v>0</v>
      </c>
      <c r="G40" s="10">
        <v>2890751</v>
      </c>
      <c r="H40" s="10">
        <f t="shared" si="1"/>
        <v>4168199</v>
      </c>
    </row>
    <row r="41" spans="1:8" x14ac:dyDescent="0.35">
      <c r="A41" s="7">
        <v>41365</v>
      </c>
      <c r="B41" s="11">
        <v>601927</v>
      </c>
      <c r="C41" s="9">
        <v>0</v>
      </c>
      <c r="D41" s="10">
        <v>0</v>
      </c>
      <c r="E41" s="10">
        <v>1069462</v>
      </c>
      <c r="F41" s="10">
        <v>0</v>
      </c>
      <c r="G41" s="10">
        <v>2515061</v>
      </c>
      <c r="H41" s="10">
        <f t="shared" si="1"/>
        <v>4186450</v>
      </c>
    </row>
    <row r="42" spans="1:8" x14ac:dyDescent="0.35">
      <c r="A42" s="7">
        <v>41395</v>
      </c>
      <c r="B42" s="11">
        <v>509792</v>
      </c>
      <c r="C42" s="9">
        <v>0</v>
      </c>
      <c r="D42" s="10">
        <v>0</v>
      </c>
      <c r="E42" s="10">
        <v>599671</v>
      </c>
      <c r="F42" s="10">
        <v>0</v>
      </c>
      <c r="G42" s="10">
        <v>2991322</v>
      </c>
      <c r="H42" s="10">
        <f t="shared" si="1"/>
        <v>4100785</v>
      </c>
    </row>
    <row r="43" spans="1:8" x14ac:dyDescent="0.35">
      <c r="A43" s="7">
        <v>41426</v>
      </c>
      <c r="B43" s="11">
        <v>429210</v>
      </c>
      <c r="C43" s="9">
        <v>379</v>
      </c>
      <c r="D43" s="10">
        <v>19468</v>
      </c>
      <c r="E43" s="10">
        <v>653432</v>
      </c>
      <c r="F43" s="10">
        <v>0</v>
      </c>
      <c r="G43" s="10">
        <v>3564781</v>
      </c>
      <c r="H43" s="10">
        <f t="shared" si="1"/>
        <v>4667270</v>
      </c>
    </row>
    <row r="44" spans="1:8" x14ac:dyDescent="0.35">
      <c r="A44" s="7">
        <v>41456</v>
      </c>
      <c r="B44" s="11">
        <v>543394</v>
      </c>
      <c r="C44" s="9">
        <v>144</v>
      </c>
      <c r="D44" s="10">
        <v>0</v>
      </c>
      <c r="E44" s="10">
        <v>501927</v>
      </c>
      <c r="F44" s="10">
        <v>0</v>
      </c>
      <c r="G44" s="10">
        <v>2954921</v>
      </c>
      <c r="H44" s="10">
        <f t="shared" si="1"/>
        <v>4000386</v>
      </c>
    </row>
    <row r="45" spans="1:8" x14ac:dyDescent="0.35">
      <c r="A45" s="7">
        <v>41487</v>
      </c>
      <c r="B45" s="11">
        <v>519797</v>
      </c>
      <c r="C45" s="9">
        <v>744</v>
      </c>
      <c r="D45" s="10">
        <v>0</v>
      </c>
      <c r="E45" s="10">
        <v>438256</v>
      </c>
      <c r="F45" s="10">
        <v>0</v>
      </c>
      <c r="G45" s="10">
        <v>2449723</v>
      </c>
      <c r="H45" s="10">
        <f t="shared" si="1"/>
        <v>3408520</v>
      </c>
    </row>
    <row r="46" spans="1:8" x14ac:dyDescent="0.35">
      <c r="A46" s="7">
        <v>41518</v>
      </c>
      <c r="B46" s="11">
        <v>552250</v>
      </c>
      <c r="C46" s="9">
        <v>2166</v>
      </c>
      <c r="D46" s="10">
        <v>16090</v>
      </c>
      <c r="E46" s="10">
        <v>1208081</v>
      </c>
      <c r="F46" s="10">
        <v>13418</v>
      </c>
      <c r="G46" s="10">
        <v>3357233</v>
      </c>
      <c r="H46" s="10">
        <f t="shared" si="1"/>
        <v>5149238</v>
      </c>
    </row>
    <row r="47" spans="1:8" x14ac:dyDescent="0.35">
      <c r="A47" s="7">
        <v>41548</v>
      </c>
      <c r="B47" s="11">
        <v>568469</v>
      </c>
      <c r="C47" s="9">
        <v>0</v>
      </c>
      <c r="D47" s="10">
        <v>6652</v>
      </c>
      <c r="E47" s="10">
        <v>488036</v>
      </c>
      <c r="F47" s="10">
        <v>0</v>
      </c>
      <c r="G47" s="10">
        <v>4641933</v>
      </c>
      <c r="H47" s="10">
        <f t="shared" si="1"/>
        <v>5705090</v>
      </c>
    </row>
    <row r="48" spans="1:8" x14ac:dyDescent="0.35">
      <c r="A48" s="7">
        <v>41579</v>
      </c>
      <c r="B48" s="11">
        <v>427797</v>
      </c>
      <c r="C48" s="9">
        <v>0</v>
      </c>
      <c r="D48" s="10">
        <v>0</v>
      </c>
      <c r="E48" s="10">
        <v>439166</v>
      </c>
      <c r="F48" s="10">
        <v>0</v>
      </c>
      <c r="G48" s="10">
        <v>3439620</v>
      </c>
      <c r="H48" s="10">
        <f t="shared" si="1"/>
        <v>4306583</v>
      </c>
    </row>
    <row r="49" spans="1:8" ht="15" thickBot="1" x14ac:dyDescent="0.4">
      <c r="A49" s="55">
        <v>41609</v>
      </c>
      <c r="B49" s="67">
        <v>502254</v>
      </c>
      <c r="C49" s="68">
        <v>0</v>
      </c>
      <c r="D49" s="69">
        <v>17967</v>
      </c>
      <c r="E49" s="69">
        <v>1917867</v>
      </c>
      <c r="F49" s="69">
        <v>0</v>
      </c>
      <c r="G49" s="69">
        <v>7490417</v>
      </c>
      <c r="H49" s="69">
        <f t="shared" si="1"/>
        <v>9928505</v>
      </c>
    </row>
    <row r="50" spans="1:8" x14ac:dyDescent="0.35">
      <c r="A50" s="53">
        <v>41640</v>
      </c>
      <c r="B50" s="70">
        <v>435332</v>
      </c>
      <c r="C50" s="71">
        <v>0</v>
      </c>
      <c r="D50" s="72">
        <v>0</v>
      </c>
      <c r="E50" s="72">
        <v>1361300</v>
      </c>
      <c r="F50" s="72">
        <v>0</v>
      </c>
      <c r="G50" s="72">
        <v>4323112</v>
      </c>
      <c r="H50" s="70">
        <f t="shared" si="1"/>
        <v>6119744</v>
      </c>
    </row>
    <row r="51" spans="1:8" x14ac:dyDescent="0.35">
      <c r="A51" s="7">
        <v>41671</v>
      </c>
      <c r="B51" s="11">
        <v>485375</v>
      </c>
      <c r="C51" s="9">
        <v>0</v>
      </c>
      <c r="D51" s="10">
        <v>0</v>
      </c>
      <c r="E51" s="10">
        <v>574079</v>
      </c>
      <c r="F51" s="10">
        <v>0</v>
      </c>
      <c r="G51" s="10">
        <v>3442641</v>
      </c>
      <c r="H51" s="11">
        <f t="shared" si="1"/>
        <v>4502095</v>
      </c>
    </row>
    <row r="52" spans="1:8" x14ac:dyDescent="0.35">
      <c r="A52" s="7">
        <v>41699</v>
      </c>
      <c r="B52" s="11">
        <v>453750</v>
      </c>
      <c r="C52" s="9">
        <v>0</v>
      </c>
      <c r="D52" s="10">
        <v>9475</v>
      </c>
      <c r="E52" s="10">
        <v>964654</v>
      </c>
      <c r="F52" s="10">
        <v>0</v>
      </c>
      <c r="G52" s="10">
        <v>4403287</v>
      </c>
      <c r="H52" s="11">
        <f t="shared" si="1"/>
        <v>5831166</v>
      </c>
    </row>
    <row r="53" spans="1:8" x14ac:dyDescent="0.35">
      <c r="A53" s="7">
        <v>41730</v>
      </c>
      <c r="B53" s="11">
        <v>544061</v>
      </c>
      <c r="C53" s="9">
        <v>0</v>
      </c>
      <c r="D53" s="10">
        <v>21019</v>
      </c>
      <c r="E53" s="10">
        <v>562514</v>
      </c>
      <c r="F53" s="10">
        <v>0</v>
      </c>
      <c r="G53" s="10">
        <v>4415615</v>
      </c>
      <c r="H53" s="11">
        <f t="shared" si="1"/>
        <v>5543209</v>
      </c>
    </row>
    <row r="54" spans="1:8" x14ac:dyDescent="0.35">
      <c r="A54" s="7">
        <v>41760</v>
      </c>
      <c r="B54" s="11">
        <v>463799</v>
      </c>
      <c r="C54" s="9">
        <v>14710</v>
      </c>
      <c r="D54" s="10">
        <v>12561</v>
      </c>
      <c r="E54" s="10">
        <v>653148</v>
      </c>
      <c r="F54" s="10">
        <v>0</v>
      </c>
      <c r="G54" s="10">
        <v>2830607</v>
      </c>
      <c r="H54" s="11">
        <f t="shared" si="1"/>
        <v>3974825</v>
      </c>
    </row>
    <row r="55" spans="1:8" x14ac:dyDescent="0.35">
      <c r="A55" s="7">
        <v>41791</v>
      </c>
      <c r="B55" s="11">
        <v>636314</v>
      </c>
      <c r="C55" s="9">
        <v>0</v>
      </c>
      <c r="D55" s="10">
        <v>14812</v>
      </c>
      <c r="E55" s="10">
        <v>744153</v>
      </c>
      <c r="F55" s="10">
        <v>0</v>
      </c>
      <c r="G55" s="10">
        <v>3778339</v>
      </c>
      <c r="H55" s="11">
        <f t="shared" si="1"/>
        <v>5173618</v>
      </c>
    </row>
    <row r="56" spans="1:8" x14ac:dyDescent="0.35">
      <c r="A56" s="7">
        <v>41821</v>
      </c>
      <c r="B56" s="11">
        <v>467135</v>
      </c>
      <c r="C56" s="9">
        <v>2894</v>
      </c>
      <c r="D56" s="10">
        <v>4400</v>
      </c>
      <c r="E56" s="10">
        <v>837404</v>
      </c>
      <c r="F56" s="10">
        <v>0</v>
      </c>
      <c r="G56" s="10">
        <v>3059123</v>
      </c>
      <c r="H56" s="11">
        <f t="shared" si="1"/>
        <v>4370956</v>
      </c>
    </row>
    <row r="57" spans="1:8" x14ac:dyDescent="0.35">
      <c r="A57" s="7">
        <v>41852</v>
      </c>
      <c r="B57" s="11">
        <v>567657</v>
      </c>
      <c r="C57" s="9">
        <v>24</v>
      </c>
      <c r="D57" s="10">
        <v>1752</v>
      </c>
      <c r="E57" s="10">
        <v>820233</v>
      </c>
      <c r="F57" s="10">
        <v>0</v>
      </c>
      <c r="G57" s="10">
        <v>2733583</v>
      </c>
      <c r="H57" s="11">
        <f t="shared" si="1"/>
        <v>4123249</v>
      </c>
    </row>
    <row r="58" spans="1:8" x14ac:dyDescent="0.35">
      <c r="A58" s="7">
        <v>41883</v>
      </c>
      <c r="B58" s="11">
        <v>507365</v>
      </c>
      <c r="C58" s="9">
        <v>590.72</v>
      </c>
      <c r="D58" s="10">
        <v>66371</v>
      </c>
      <c r="E58" s="10">
        <v>523072</v>
      </c>
      <c r="F58" s="10">
        <v>0</v>
      </c>
      <c r="G58" s="10">
        <v>4497502</v>
      </c>
      <c r="H58" s="11">
        <f t="shared" si="1"/>
        <v>5594900.7199999997</v>
      </c>
    </row>
    <row r="59" spans="1:8" x14ac:dyDescent="0.35">
      <c r="A59" s="7">
        <v>41913</v>
      </c>
      <c r="B59" s="11">
        <v>549525</v>
      </c>
      <c r="C59" s="9">
        <v>0</v>
      </c>
      <c r="D59" s="10">
        <v>6297</v>
      </c>
      <c r="E59" s="10">
        <v>871807</v>
      </c>
      <c r="F59" s="10">
        <v>0</v>
      </c>
      <c r="G59" s="10">
        <v>3865146</v>
      </c>
      <c r="H59" s="11">
        <f t="shared" si="1"/>
        <v>5292775</v>
      </c>
    </row>
    <row r="60" spans="1:8" x14ac:dyDescent="0.35">
      <c r="A60" s="7">
        <v>41944</v>
      </c>
      <c r="B60" s="11">
        <v>529910</v>
      </c>
      <c r="C60" s="9">
        <v>32</v>
      </c>
      <c r="D60" s="10">
        <v>42368</v>
      </c>
      <c r="E60" s="10">
        <v>695387</v>
      </c>
      <c r="F60" s="10">
        <v>0</v>
      </c>
      <c r="G60" s="10">
        <v>4374854</v>
      </c>
      <c r="H60" s="11">
        <f t="shared" si="1"/>
        <v>5642551</v>
      </c>
    </row>
    <row r="61" spans="1:8" ht="15" thickBot="1" x14ac:dyDescent="0.4">
      <c r="A61" s="15">
        <v>41974</v>
      </c>
      <c r="B61" s="54">
        <v>524707</v>
      </c>
      <c r="C61" s="73">
        <v>3722</v>
      </c>
      <c r="D61" s="74">
        <v>4678</v>
      </c>
      <c r="E61" s="74">
        <v>632575</v>
      </c>
      <c r="F61" s="74">
        <v>0</v>
      </c>
      <c r="G61" s="74">
        <v>4175626</v>
      </c>
      <c r="H61" s="54">
        <f t="shared" si="1"/>
        <v>5341308</v>
      </c>
    </row>
    <row r="62" spans="1:8" x14ac:dyDescent="0.35">
      <c r="A62" s="42">
        <v>42005</v>
      </c>
      <c r="B62" s="37">
        <v>424552</v>
      </c>
      <c r="C62" s="44">
        <v>54</v>
      </c>
      <c r="D62" s="45">
        <v>0</v>
      </c>
      <c r="E62" s="45">
        <v>550163</v>
      </c>
      <c r="F62" s="45">
        <v>0</v>
      </c>
      <c r="G62" s="45">
        <v>3205792</v>
      </c>
      <c r="H62" s="45">
        <f t="shared" si="1"/>
        <v>4180561</v>
      </c>
    </row>
    <row r="63" spans="1:8" x14ac:dyDescent="0.35">
      <c r="A63" s="7">
        <v>42036</v>
      </c>
      <c r="B63" s="11">
        <v>458668</v>
      </c>
      <c r="C63" s="9">
        <v>0</v>
      </c>
      <c r="D63" s="10">
        <v>0</v>
      </c>
      <c r="E63" s="10">
        <v>560653</v>
      </c>
      <c r="F63" s="10">
        <v>0</v>
      </c>
      <c r="G63" s="10">
        <v>3952004</v>
      </c>
      <c r="H63" s="10">
        <f t="shared" si="1"/>
        <v>4971325</v>
      </c>
    </row>
    <row r="64" spans="1:8" x14ac:dyDescent="0.35">
      <c r="A64" s="7">
        <v>42064</v>
      </c>
      <c r="B64" s="11">
        <v>566625</v>
      </c>
      <c r="C64" s="9">
        <v>2084</v>
      </c>
      <c r="D64" s="10">
        <v>5476</v>
      </c>
      <c r="E64" s="10">
        <v>762649</v>
      </c>
      <c r="F64" s="10"/>
      <c r="G64" s="10">
        <v>5613765</v>
      </c>
      <c r="H64" s="10">
        <f t="shared" si="1"/>
        <v>6950599</v>
      </c>
    </row>
    <row r="65" spans="1:8" x14ac:dyDescent="0.35">
      <c r="A65" s="7">
        <v>42095</v>
      </c>
      <c r="B65" s="11">
        <v>679106</v>
      </c>
      <c r="C65" s="9">
        <v>249</v>
      </c>
      <c r="D65" s="10">
        <v>975</v>
      </c>
      <c r="E65" s="10">
        <v>423258</v>
      </c>
      <c r="F65" s="10">
        <v>0</v>
      </c>
      <c r="G65" s="10">
        <v>3272894</v>
      </c>
      <c r="H65" s="10">
        <f t="shared" si="1"/>
        <v>4376482</v>
      </c>
    </row>
    <row r="66" spans="1:8" x14ac:dyDescent="0.35">
      <c r="A66" s="7">
        <v>42125</v>
      </c>
      <c r="B66" s="11">
        <v>462960</v>
      </c>
      <c r="C66" s="9">
        <v>0</v>
      </c>
      <c r="D66" s="10">
        <v>1920</v>
      </c>
      <c r="E66" s="10">
        <v>428047</v>
      </c>
      <c r="F66" s="10">
        <v>0</v>
      </c>
      <c r="G66" s="10">
        <v>2438841</v>
      </c>
      <c r="H66" s="10">
        <f t="shared" ref="H66:H79" si="2">SUM(B66:G66)</f>
        <v>3331768</v>
      </c>
    </row>
    <row r="67" spans="1:8" x14ac:dyDescent="0.35">
      <c r="A67" s="7">
        <v>42156</v>
      </c>
      <c r="B67" s="11">
        <v>491991.86</v>
      </c>
      <c r="C67" s="9">
        <v>734.01</v>
      </c>
      <c r="D67" s="10">
        <v>20924.599999999999</v>
      </c>
      <c r="E67" s="10">
        <v>732171.31</v>
      </c>
      <c r="F67" s="10">
        <v>0</v>
      </c>
      <c r="G67" s="10">
        <v>3460999.01</v>
      </c>
      <c r="H67" s="10">
        <f t="shared" si="2"/>
        <v>4706820.79</v>
      </c>
    </row>
    <row r="68" spans="1:8" x14ac:dyDescent="0.35">
      <c r="A68" s="7">
        <v>42186</v>
      </c>
      <c r="B68" s="11">
        <v>47230</v>
      </c>
      <c r="C68" s="9">
        <v>0</v>
      </c>
      <c r="D68" s="10">
        <v>1596</v>
      </c>
      <c r="E68" s="10">
        <v>1045033</v>
      </c>
      <c r="F68" s="10">
        <v>0</v>
      </c>
      <c r="G68" s="10">
        <v>3326263</v>
      </c>
      <c r="H68" s="10">
        <f t="shared" si="2"/>
        <v>4420122</v>
      </c>
    </row>
    <row r="69" spans="1:8" x14ac:dyDescent="0.35">
      <c r="A69" s="7">
        <v>42217</v>
      </c>
      <c r="B69" s="11">
        <v>851417</v>
      </c>
      <c r="C69" s="9">
        <v>1651</v>
      </c>
      <c r="D69" s="10">
        <v>17684</v>
      </c>
      <c r="E69" s="10">
        <v>457678</v>
      </c>
      <c r="F69" s="10">
        <v>0</v>
      </c>
      <c r="G69" s="10">
        <v>3828482</v>
      </c>
      <c r="H69" s="10">
        <f t="shared" si="2"/>
        <v>5156912</v>
      </c>
    </row>
    <row r="70" spans="1:8" x14ac:dyDescent="0.35">
      <c r="A70" s="7">
        <v>42248</v>
      </c>
      <c r="B70" s="11">
        <v>429539</v>
      </c>
      <c r="C70" s="9">
        <v>525</v>
      </c>
      <c r="D70" s="10">
        <v>55357</v>
      </c>
      <c r="E70" s="10">
        <v>803549</v>
      </c>
      <c r="F70" s="10">
        <v>0</v>
      </c>
      <c r="G70" s="10">
        <v>4910318</v>
      </c>
      <c r="H70" s="10">
        <f t="shared" si="2"/>
        <v>6199288</v>
      </c>
    </row>
    <row r="71" spans="1:8" x14ac:dyDescent="0.35">
      <c r="A71" s="7">
        <v>42278</v>
      </c>
      <c r="B71" s="11">
        <v>456062</v>
      </c>
      <c r="C71" s="9">
        <v>3755</v>
      </c>
      <c r="D71" s="10">
        <v>4432</v>
      </c>
      <c r="E71" s="10">
        <v>907679</v>
      </c>
      <c r="F71" s="10">
        <v>0</v>
      </c>
      <c r="G71" s="10">
        <v>3152880</v>
      </c>
      <c r="H71" s="10">
        <f t="shared" si="2"/>
        <v>4524808</v>
      </c>
    </row>
    <row r="72" spans="1:8" x14ac:dyDescent="0.35">
      <c r="A72" s="7">
        <v>42309</v>
      </c>
      <c r="B72" s="11">
        <v>526966</v>
      </c>
      <c r="C72" s="9">
        <v>0</v>
      </c>
      <c r="D72" s="10">
        <v>604</v>
      </c>
      <c r="E72" s="10">
        <v>560428</v>
      </c>
      <c r="F72" s="10">
        <v>0</v>
      </c>
      <c r="G72" s="10">
        <v>3062626</v>
      </c>
      <c r="H72" s="10">
        <f t="shared" si="2"/>
        <v>4150624</v>
      </c>
    </row>
    <row r="73" spans="1:8" ht="15" thickBot="1" x14ac:dyDescent="0.4">
      <c r="A73" s="55">
        <v>42339</v>
      </c>
      <c r="B73" s="67">
        <v>380958.28</v>
      </c>
      <c r="C73" s="68">
        <v>9029</v>
      </c>
      <c r="D73" s="69">
        <v>139800.04999999999</v>
      </c>
      <c r="E73" s="69">
        <v>728485.56</v>
      </c>
      <c r="F73" s="69">
        <v>0</v>
      </c>
      <c r="G73" s="69">
        <v>4582947.68</v>
      </c>
      <c r="H73" s="69">
        <f t="shared" si="2"/>
        <v>5841220.5700000003</v>
      </c>
    </row>
    <row r="74" spans="1:8" x14ac:dyDescent="0.35">
      <c r="A74" s="53">
        <v>42370</v>
      </c>
      <c r="B74" s="70">
        <v>408359</v>
      </c>
      <c r="C74" s="71">
        <v>1527</v>
      </c>
      <c r="D74" s="72">
        <v>5094</v>
      </c>
      <c r="E74" s="72">
        <v>611182</v>
      </c>
      <c r="F74" s="72">
        <v>0</v>
      </c>
      <c r="G74" s="72">
        <v>2454922</v>
      </c>
      <c r="H74" s="70">
        <f t="shared" si="2"/>
        <v>3481084</v>
      </c>
    </row>
    <row r="75" spans="1:8" x14ac:dyDescent="0.35">
      <c r="A75" s="7">
        <v>42401</v>
      </c>
      <c r="B75" s="11">
        <v>413082.35</v>
      </c>
      <c r="C75" s="9">
        <v>593.6</v>
      </c>
      <c r="D75" s="10">
        <v>5917</v>
      </c>
      <c r="E75" s="10">
        <v>684105.95</v>
      </c>
      <c r="F75" s="10">
        <v>0</v>
      </c>
      <c r="G75" s="10">
        <v>4669866.26</v>
      </c>
      <c r="H75" s="11">
        <f t="shared" si="2"/>
        <v>5773565.1600000001</v>
      </c>
    </row>
    <row r="76" spans="1:8" x14ac:dyDescent="0.35">
      <c r="A76" s="7">
        <v>42430</v>
      </c>
      <c r="B76" s="11">
        <v>524047.6</v>
      </c>
      <c r="C76" s="9">
        <v>5906.55</v>
      </c>
      <c r="D76" s="10">
        <v>13483.27</v>
      </c>
      <c r="E76" s="10">
        <v>1131339.6200000001</v>
      </c>
      <c r="F76" s="10">
        <v>0</v>
      </c>
      <c r="G76" s="10">
        <v>4795445.7699999996</v>
      </c>
      <c r="H76" s="11">
        <f t="shared" si="2"/>
        <v>6470222.8099999996</v>
      </c>
    </row>
    <row r="77" spans="1:8" x14ac:dyDescent="0.35">
      <c r="A77" s="7">
        <v>42461</v>
      </c>
      <c r="B77" s="11">
        <v>523400</v>
      </c>
      <c r="C77" s="9">
        <v>0</v>
      </c>
      <c r="D77" s="10">
        <v>1505</v>
      </c>
      <c r="E77" s="10">
        <v>499223</v>
      </c>
      <c r="F77" s="10">
        <v>0</v>
      </c>
      <c r="G77" s="10">
        <v>4501349</v>
      </c>
      <c r="H77" s="11">
        <f t="shared" si="2"/>
        <v>5525477</v>
      </c>
    </row>
    <row r="78" spans="1:8" x14ac:dyDescent="0.35">
      <c r="A78" s="7">
        <v>42491</v>
      </c>
      <c r="B78" s="11">
        <v>559477.69999999995</v>
      </c>
      <c r="C78" s="9">
        <v>1130.27</v>
      </c>
      <c r="D78" s="10">
        <v>5590.95</v>
      </c>
      <c r="E78" s="10">
        <v>657574.38</v>
      </c>
      <c r="F78" s="10">
        <v>0</v>
      </c>
      <c r="G78" s="10">
        <v>4548944.92</v>
      </c>
      <c r="H78" s="11">
        <f t="shared" si="2"/>
        <v>5772718.2199999997</v>
      </c>
    </row>
    <row r="79" spans="1:8" x14ac:dyDescent="0.35">
      <c r="A79" s="7">
        <v>42522</v>
      </c>
      <c r="B79" s="11">
        <v>540113.25</v>
      </c>
      <c r="C79" s="9">
        <v>1007.38</v>
      </c>
      <c r="D79" s="10">
        <v>529.9</v>
      </c>
      <c r="E79" s="10">
        <v>530563.43000000005</v>
      </c>
      <c r="F79" s="10">
        <v>0</v>
      </c>
      <c r="G79" s="10">
        <v>4674187.66</v>
      </c>
      <c r="H79" s="11">
        <f t="shared" si="2"/>
        <v>5746401.6200000001</v>
      </c>
    </row>
    <row r="80" spans="1:8" x14ac:dyDescent="0.35">
      <c r="A80" s="7">
        <v>42552</v>
      </c>
      <c r="B80" s="11">
        <v>436844</v>
      </c>
      <c r="C80" s="9">
        <v>1613</v>
      </c>
      <c r="D80" s="10">
        <v>1696</v>
      </c>
      <c r="E80" s="10">
        <v>544903</v>
      </c>
      <c r="F80" s="10">
        <v>0</v>
      </c>
      <c r="G80" s="10">
        <v>4235631</v>
      </c>
      <c r="H80" s="11">
        <f>SUM(B80:G80)</f>
        <v>5220687</v>
      </c>
    </row>
    <row r="81" spans="1:8" x14ac:dyDescent="0.35">
      <c r="A81" s="7">
        <v>42583</v>
      </c>
      <c r="B81" s="11">
        <v>490195</v>
      </c>
      <c r="C81" s="9">
        <v>1080</v>
      </c>
      <c r="D81" s="10">
        <v>13434</v>
      </c>
      <c r="E81" s="10">
        <v>484102</v>
      </c>
      <c r="F81" s="10">
        <v>0</v>
      </c>
      <c r="G81" s="10">
        <v>3910186</v>
      </c>
      <c r="H81" s="11">
        <f>SUM(B81:G81)</f>
        <v>4898997</v>
      </c>
    </row>
    <row r="82" spans="1:8" x14ac:dyDescent="0.35">
      <c r="A82" s="7">
        <v>42614</v>
      </c>
      <c r="B82" s="11">
        <v>434685.46</v>
      </c>
      <c r="C82" s="9">
        <v>1896.57</v>
      </c>
      <c r="D82" s="10">
        <v>9108.65</v>
      </c>
      <c r="E82" s="10">
        <v>746736.16</v>
      </c>
      <c r="F82" s="10">
        <v>0</v>
      </c>
      <c r="G82" s="10">
        <v>4281622.1999999993</v>
      </c>
      <c r="H82" s="11">
        <f>SUM(B82:G82)</f>
        <v>5474049.0399999991</v>
      </c>
    </row>
    <row r="83" spans="1:8" x14ac:dyDescent="0.35">
      <c r="A83" s="7">
        <v>42644</v>
      </c>
      <c r="B83" s="11">
        <v>538329.64</v>
      </c>
      <c r="C83" s="9">
        <v>914.3</v>
      </c>
      <c r="D83" s="10">
        <v>5345.4</v>
      </c>
      <c r="E83" s="10">
        <v>768182.69</v>
      </c>
      <c r="F83" s="10">
        <v>0</v>
      </c>
      <c r="G83" s="10">
        <v>5264894.66</v>
      </c>
      <c r="H83" s="11">
        <f t="shared" ref="H83:H109" si="3">SUM(B83:G83)</f>
        <v>6577666.6900000004</v>
      </c>
    </row>
    <row r="84" spans="1:8" x14ac:dyDescent="0.35">
      <c r="A84" s="7">
        <v>42675</v>
      </c>
      <c r="B84" s="11">
        <v>716531</v>
      </c>
      <c r="C84" s="9">
        <v>12735</v>
      </c>
      <c r="D84" s="10">
        <v>60823</v>
      </c>
      <c r="E84" s="10">
        <v>532537</v>
      </c>
      <c r="F84" s="10">
        <v>0</v>
      </c>
      <c r="G84" s="10">
        <v>3764404</v>
      </c>
      <c r="H84" s="11">
        <f t="shared" si="3"/>
        <v>5087030</v>
      </c>
    </row>
    <row r="85" spans="1:8" ht="15" thickBot="1" x14ac:dyDescent="0.4">
      <c r="A85" s="15">
        <v>42705</v>
      </c>
      <c r="B85" s="54">
        <v>594865.71</v>
      </c>
      <c r="C85" s="73">
        <v>2798.86</v>
      </c>
      <c r="D85" s="74">
        <v>86499.53</v>
      </c>
      <c r="E85" s="74">
        <v>543622.53</v>
      </c>
      <c r="F85" s="74">
        <v>0</v>
      </c>
      <c r="G85" s="74">
        <v>4657653.82</v>
      </c>
      <c r="H85" s="54">
        <f t="shared" si="3"/>
        <v>5885440.4500000002</v>
      </c>
    </row>
    <row r="86" spans="1:8" x14ac:dyDescent="0.35">
      <c r="A86" s="42">
        <v>42736</v>
      </c>
      <c r="B86" s="37">
        <v>389776.57</v>
      </c>
      <c r="C86" s="44">
        <v>0</v>
      </c>
      <c r="D86" s="45">
        <v>48974.75</v>
      </c>
      <c r="E86" s="45">
        <v>545901.55000000005</v>
      </c>
      <c r="F86" s="45">
        <v>0</v>
      </c>
      <c r="G86" s="45">
        <v>3624167.22</v>
      </c>
      <c r="H86" s="45">
        <f t="shared" si="3"/>
        <v>4608820.09</v>
      </c>
    </row>
    <row r="87" spans="1:8" x14ac:dyDescent="0.35">
      <c r="A87" s="7">
        <v>42767</v>
      </c>
      <c r="B87" s="11">
        <v>467781.77</v>
      </c>
      <c r="C87" s="9">
        <v>687.66</v>
      </c>
      <c r="D87" s="10">
        <v>18896.849999999999</v>
      </c>
      <c r="E87" s="10">
        <v>375650.66</v>
      </c>
      <c r="F87" s="10"/>
      <c r="G87" s="10">
        <v>3057142.58</v>
      </c>
      <c r="H87" s="10">
        <f t="shared" si="3"/>
        <v>3920159.52</v>
      </c>
    </row>
    <row r="88" spans="1:8" x14ac:dyDescent="0.35">
      <c r="A88" s="7">
        <v>42795</v>
      </c>
      <c r="B88" s="11">
        <v>557680.53</v>
      </c>
      <c r="C88" s="9">
        <v>5612.14</v>
      </c>
      <c r="D88" s="10">
        <v>37266.980000000003</v>
      </c>
      <c r="E88" s="10">
        <v>704328.74</v>
      </c>
      <c r="F88" s="10"/>
      <c r="G88" s="10">
        <v>5018266.28</v>
      </c>
      <c r="H88" s="10">
        <f t="shared" si="3"/>
        <v>6323154.6699999999</v>
      </c>
    </row>
    <row r="89" spans="1:8" x14ac:dyDescent="0.35">
      <c r="A89" s="7">
        <v>42826</v>
      </c>
      <c r="B89" s="11">
        <v>526682.35</v>
      </c>
      <c r="C89" s="9">
        <v>43.15</v>
      </c>
      <c r="D89" s="10">
        <v>45560.57</v>
      </c>
      <c r="E89" s="10">
        <v>667882.76</v>
      </c>
      <c r="F89" s="10"/>
      <c r="G89" s="10">
        <v>4349694.0999999996</v>
      </c>
      <c r="H89" s="10">
        <f t="shared" si="3"/>
        <v>5589862.9299999997</v>
      </c>
    </row>
    <row r="90" spans="1:8" x14ac:dyDescent="0.35">
      <c r="A90" s="7">
        <v>42856</v>
      </c>
      <c r="B90" s="11">
        <v>398241.95</v>
      </c>
      <c r="C90" s="9"/>
      <c r="D90" s="10">
        <v>71588.600000000006</v>
      </c>
      <c r="E90" s="10">
        <v>590146.18000000005</v>
      </c>
      <c r="F90" s="10"/>
      <c r="G90" s="10">
        <v>4571788.8</v>
      </c>
      <c r="H90" s="10">
        <f t="shared" si="3"/>
        <v>5631765.5299999993</v>
      </c>
    </row>
    <row r="91" spans="1:8" x14ac:dyDescent="0.35">
      <c r="A91" s="7">
        <v>42887</v>
      </c>
      <c r="B91" s="11">
        <v>530946</v>
      </c>
      <c r="C91" s="9">
        <v>1879</v>
      </c>
      <c r="D91" s="10">
        <v>23222</v>
      </c>
      <c r="E91" s="10">
        <v>532569</v>
      </c>
      <c r="F91" s="10"/>
      <c r="G91" s="10">
        <v>4794285</v>
      </c>
      <c r="H91" s="10">
        <f t="shared" si="3"/>
        <v>5882901</v>
      </c>
    </row>
    <row r="92" spans="1:8" x14ac:dyDescent="0.35">
      <c r="A92" s="7">
        <v>42917</v>
      </c>
      <c r="B92" s="11">
        <v>534562</v>
      </c>
      <c r="C92" s="9"/>
      <c r="D92" s="10">
        <v>41914</v>
      </c>
      <c r="E92" s="10">
        <v>643933</v>
      </c>
      <c r="F92" s="10"/>
      <c r="G92" s="10">
        <v>4004866</v>
      </c>
      <c r="H92" s="10">
        <f t="shared" si="3"/>
        <v>5225275</v>
      </c>
    </row>
    <row r="93" spans="1:8" x14ac:dyDescent="0.35">
      <c r="A93" s="7">
        <v>42948</v>
      </c>
      <c r="B93" s="11">
        <v>574886</v>
      </c>
      <c r="C93" s="9">
        <v>18073</v>
      </c>
      <c r="D93" s="10">
        <v>11131</v>
      </c>
      <c r="E93" s="10">
        <v>470736</v>
      </c>
      <c r="F93" s="10"/>
      <c r="G93" s="10">
        <v>3974686</v>
      </c>
      <c r="H93" s="10">
        <f t="shared" si="3"/>
        <v>5049512</v>
      </c>
    </row>
    <row r="94" spans="1:8" x14ac:dyDescent="0.35">
      <c r="A94" s="7">
        <v>42979</v>
      </c>
      <c r="B94" s="11">
        <v>551265</v>
      </c>
      <c r="C94" s="9">
        <v>3313</v>
      </c>
      <c r="D94" s="10">
        <v>18855</v>
      </c>
      <c r="E94" s="10">
        <v>598745</v>
      </c>
      <c r="F94" s="10"/>
      <c r="G94" s="10">
        <v>3878774</v>
      </c>
      <c r="H94" s="10">
        <f t="shared" si="3"/>
        <v>5050952</v>
      </c>
    </row>
    <row r="95" spans="1:8" x14ac:dyDescent="0.35">
      <c r="A95" s="7">
        <v>43009</v>
      </c>
      <c r="B95" s="11">
        <v>575865</v>
      </c>
      <c r="C95" s="9">
        <v>1155</v>
      </c>
      <c r="D95" s="10">
        <v>36543</v>
      </c>
      <c r="E95" s="10">
        <v>715365</v>
      </c>
      <c r="F95" s="10"/>
      <c r="G95" s="10">
        <v>4147453</v>
      </c>
      <c r="H95" s="10">
        <f t="shared" si="3"/>
        <v>5476381</v>
      </c>
    </row>
    <row r="96" spans="1:8" x14ac:dyDescent="0.35">
      <c r="A96" s="7">
        <v>43040</v>
      </c>
      <c r="B96" s="11">
        <v>472253</v>
      </c>
      <c r="C96" s="9">
        <v>975</v>
      </c>
      <c r="D96" s="10">
        <v>31187</v>
      </c>
      <c r="E96" s="10">
        <v>500952</v>
      </c>
      <c r="F96" s="10"/>
      <c r="G96" s="10">
        <v>2877273</v>
      </c>
      <c r="H96" s="10">
        <f t="shared" si="3"/>
        <v>3882640</v>
      </c>
    </row>
    <row r="97" spans="1:8" ht="15" thickBot="1" x14ac:dyDescent="0.4">
      <c r="A97" s="55">
        <v>43070</v>
      </c>
      <c r="B97" s="67">
        <v>411555.32</v>
      </c>
      <c r="C97" s="68">
        <v>2867.05</v>
      </c>
      <c r="D97" s="69">
        <v>45391.3</v>
      </c>
      <c r="E97" s="69">
        <v>324144.74</v>
      </c>
      <c r="F97" s="69"/>
      <c r="G97" s="69">
        <v>5703405.1500000004</v>
      </c>
      <c r="H97" s="69">
        <f t="shared" si="3"/>
        <v>6487363.5600000005</v>
      </c>
    </row>
    <row r="98" spans="1:8" x14ac:dyDescent="0.35">
      <c r="A98" s="53">
        <v>43101</v>
      </c>
      <c r="B98" s="70">
        <v>472944.08</v>
      </c>
      <c r="C98" s="71"/>
      <c r="D98" s="72">
        <v>28102.44</v>
      </c>
      <c r="E98" s="72">
        <v>454837.35</v>
      </c>
      <c r="F98" s="72"/>
      <c r="G98" s="72">
        <v>8488253.3300000001</v>
      </c>
      <c r="H98" s="70">
        <f t="shared" si="3"/>
        <v>9444137.1999999993</v>
      </c>
    </row>
    <row r="99" spans="1:8" x14ac:dyDescent="0.35">
      <c r="A99" s="7">
        <v>43132</v>
      </c>
      <c r="B99" s="11">
        <v>489709.49</v>
      </c>
      <c r="C99" s="9">
        <v>2846.28</v>
      </c>
      <c r="D99" s="10">
        <v>31034</v>
      </c>
      <c r="E99" s="10">
        <v>616721.56999999995</v>
      </c>
      <c r="F99" s="10"/>
      <c r="G99" s="10">
        <v>4480949.6900000004</v>
      </c>
      <c r="H99" s="11">
        <f t="shared" si="3"/>
        <v>5621261.0300000003</v>
      </c>
    </row>
    <row r="100" spans="1:8" x14ac:dyDescent="0.35">
      <c r="A100" s="7">
        <v>43160</v>
      </c>
      <c r="B100" s="11">
        <v>589590.55000000005</v>
      </c>
      <c r="C100" s="9">
        <v>3141.13</v>
      </c>
      <c r="D100" s="10">
        <v>11568.98</v>
      </c>
      <c r="E100" s="10">
        <v>551512.79</v>
      </c>
      <c r="F100" s="10">
        <v>1107.5</v>
      </c>
      <c r="G100" s="10">
        <v>6222191.7000000002</v>
      </c>
      <c r="H100" s="11">
        <f t="shared" si="3"/>
        <v>7379112.6500000004</v>
      </c>
    </row>
    <row r="101" spans="1:8" x14ac:dyDescent="0.35">
      <c r="A101" s="7">
        <v>43191</v>
      </c>
      <c r="B101" s="11">
        <v>532126.9</v>
      </c>
      <c r="C101" s="9">
        <v>5429.35</v>
      </c>
      <c r="D101" s="10">
        <v>16622.45</v>
      </c>
      <c r="E101" s="10">
        <v>691934.62</v>
      </c>
      <c r="F101" s="10">
        <v>518</v>
      </c>
      <c r="G101" s="10">
        <v>6984589.9299999997</v>
      </c>
      <c r="H101" s="11">
        <f t="shared" si="3"/>
        <v>8231221.25</v>
      </c>
    </row>
    <row r="102" spans="1:8" x14ac:dyDescent="0.35">
      <c r="A102" s="7">
        <v>43221</v>
      </c>
      <c r="B102" s="11">
        <v>550329.29</v>
      </c>
      <c r="C102" s="9">
        <v>1758.37</v>
      </c>
      <c r="D102" s="10">
        <v>78028.72</v>
      </c>
      <c r="E102" s="10">
        <v>465353.16</v>
      </c>
      <c r="F102" s="10">
        <v>725</v>
      </c>
      <c r="G102" s="10">
        <v>5740120.75</v>
      </c>
      <c r="H102" s="11">
        <v>6836315.29</v>
      </c>
    </row>
    <row r="103" spans="1:8" x14ac:dyDescent="0.35">
      <c r="A103" s="7">
        <v>43252</v>
      </c>
      <c r="B103" s="11">
        <v>478551.21</v>
      </c>
      <c r="C103" s="9">
        <v>4272.08</v>
      </c>
      <c r="D103" s="10">
        <v>36533.57</v>
      </c>
      <c r="E103" s="10">
        <v>310393.77</v>
      </c>
      <c r="F103" s="10"/>
      <c r="G103" s="10">
        <v>5931192.5300000003</v>
      </c>
      <c r="H103" s="11">
        <f t="shared" si="3"/>
        <v>6760943.1600000001</v>
      </c>
    </row>
    <row r="104" spans="1:8" x14ac:dyDescent="0.35">
      <c r="A104" s="7">
        <v>43282</v>
      </c>
      <c r="B104" s="11">
        <v>448153.08</v>
      </c>
      <c r="C104" s="9">
        <v>1636.5</v>
      </c>
      <c r="D104" s="10">
        <v>36547.85</v>
      </c>
      <c r="E104" s="10">
        <v>318132.3</v>
      </c>
      <c r="F104" s="10"/>
      <c r="G104" s="10">
        <v>5029205.75</v>
      </c>
      <c r="H104" s="11">
        <f t="shared" si="3"/>
        <v>5833675.4800000004</v>
      </c>
    </row>
    <row r="105" spans="1:8" x14ac:dyDescent="0.35">
      <c r="A105" s="7">
        <v>43313</v>
      </c>
      <c r="B105" s="11">
        <v>556890.9</v>
      </c>
      <c r="C105" s="9">
        <v>2834.72</v>
      </c>
      <c r="D105" s="10">
        <v>11924.05</v>
      </c>
      <c r="E105" s="10">
        <v>335170.8</v>
      </c>
      <c r="F105" s="10">
        <v>783</v>
      </c>
      <c r="G105" s="10">
        <v>5308621.41</v>
      </c>
      <c r="H105" s="11">
        <v>6216224.8799999999</v>
      </c>
    </row>
    <row r="106" spans="1:8" x14ac:dyDescent="0.35">
      <c r="A106" s="7">
        <v>43344</v>
      </c>
      <c r="B106" s="11">
        <v>499180.2</v>
      </c>
      <c r="C106" s="9">
        <v>4104.9399999999996</v>
      </c>
      <c r="D106" s="10">
        <v>15196.3</v>
      </c>
      <c r="E106" s="10">
        <v>328588.75</v>
      </c>
      <c r="F106" s="10"/>
      <c r="G106" s="10">
        <v>6010909.0700000003</v>
      </c>
      <c r="H106" s="11">
        <f t="shared" si="3"/>
        <v>6857979.2599999998</v>
      </c>
    </row>
    <row r="107" spans="1:8" x14ac:dyDescent="0.35">
      <c r="A107" s="7">
        <v>43374</v>
      </c>
      <c r="B107" s="11">
        <v>563083.24</v>
      </c>
      <c r="C107" s="9">
        <v>2126.75</v>
      </c>
      <c r="D107" s="10">
        <v>18281.36</v>
      </c>
      <c r="E107" s="10">
        <v>408971.34</v>
      </c>
      <c r="F107" s="10"/>
      <c r="G107" s="10">
        <v>8286262.5199999996</v>
      </c>
      <c r="H107" s="11">
        <f t="shared" si="3"/>
        <v>9278725.209999999</v>
      </c>
    </row>
    <row r="108" spans="1:8" x14ac:dyDescent="0.35">
      <c r="A108" s="7">
        <v>43405</v>
      </c>
      <c r="B108" s="11">
        <v>483552.08</v>
      </c>
      <c r="C108" s="9">
        <v>2242.25</v>
      </c>
      <c r="D108" s="10">
        <v>23633.5</v>
      </c>
      <c r="E108" s="10">
        <v>194977.91</v>
      </c>
      <c r="F108" s="10">
        <v>-3133.5</v>
      </c>
      <c r="G108" s="10">
        <v>5290480.49</v>
      </c>
      <c r="H108" s="11">
        <f t="shared" si="3"/>
        <v>5991752.7300000004</v>
      </c>
    </row>
    <row r="109" spans="1:8" ht="15" thickBot="1" x14ac:dyDescent="0.4">
      <c r="A109" s="15">
        <v>43435</v>
      </c>
      <c r="B109" s="54">
        <v>428177.67</v>
      </c>
      <c r="C109" s="73">
        <v>6636.75</v>
      </c>
      <c r="D109" s="74">
        <v>41624.15</v>
      </c>
      <c r="E109" s="74">
        <v>1338783.6399999999</v>
      </c>
      <c r="F109" s="74"/>
      <c r="G109" s="74">
        <v>5686431.1599999992</v>
      </c>
      <c r="H109" s="54">
        <f t="shared" si="3"/>
        <v>7501653.3699999992</v>
      </c>
    </row>
    <row r="110" spans="1:8" x14ac:dyDescent="0.35">
      <c r="A110" s="42">
        <v>43484</v>
      </c>
      <c r="B110" s="37">
        <v>552097.05000000005</v>
      </c>
      <c r="C110" s="44">
        <v>270</v>
      </c>
      <c r="D110" s="45">
        <v>12066.75</v>
      </c>
      <c r="E110" s="45">
        <v>214787.07</v>
      </c>
      <c r="F110" s="45"/>
      <c r="G110" s="45">
        <v>5173746.04</v>
      </c>
      <c r="H110" s="70">
        <f>SUM(B110:G110)</f>
        <v>5952966.9100000001</v>
      </c>
    </row>
    <row r="111" spans="1:8" x14ac:dyDescent="0.35">
      <c r="A111" s="7">
        <v>43515</v>
      </c>
      <c r="B111" s="11">
        <v>1321338.52</v>
      </c>
      <c r="C111" s="9"/>
      <c r="D111" s="10">
        <v>19262.13</v>
      </c>
      <c r="E111" s="10">
        <v>331901.36</v>
      </c>
      <c r="F111" s="10"/>
      <c r="G111" s="10">
        <v>5003917.24</v>
      </c>
      <c r="H111" s="11">
        <v>6676419.25</v>
      </c>
    </row>
    <row r="112" spans="1:8" x14ac:dyDescent="0.35">
      <c r="A112" s="7">
        <v>43543</v>
      </c>
      <c r="B112" s="11">
        <v>534126.46</v>
      </c>
      <c r="C112" s="9">
        <v>3010.43</v>
      </c>
      <c r="D112" s="10">
        <v>17043.689999999999</v>
      </c>
      <c r="E112" s="10">
        <v>342841.97</v>
      </c>
      <c r="F112" s="10"/>
      <c r="G112" s="10">
        <v>5517343.5999999996</v>
      </c>
      <c r="H112" s="11">
        <v>6414366.1499999994</v>
      </c>
    </row>
    <row r="113" spans="1:8" x14ac:dyDescent="0.35">
      <c r="A113" s="7">
        <v>43574</v>
      </c>
      <c r="B113" s="100">
        <v>613380.76</v>
      </c>
      <c r="C113" s="100">
        <v>2088.3000000000002</v>
      </c>
      <c r="D113" s="100">
        <v>25532.37</v>
      </c>
      <c r="E113" s="100">
        <v>297635.39</v>
      </c>
      <c r="F113" s="100"/>
      <c r="G113" s="100">
        <f>75241.04+328.25+5151499.65</f>
        <v>5227068.9400000004</v>
      </c>
      <c r="H113" s="11">
        <f t="shared" ref="H113:H124" si="4">SUM(B113:G113)</f>
        <v>6165705.7600000007</v>
      </c>
    </row>
    <row r="114" spans="1:8" x14ac:dyDescent="0.35">
      <c r="A114" s="7">
        <v>43604</v>
      </c>
      <c r="B114" s="11">
        <v>568036.68999999994</v>
      </c>
      <c r="C114" s="9">
        <v>1412</v>
      </c>
      <c r="D114" s="10">
        <v>175553.96</v>
      </c>
      <c r="E114" s="10">
        <v>260514.3</v>
      </c>
      <c r="F114" s="10"/>
      <c r="G114" s="10">
        <f>104781.96+6030347.9</f>
        <v>6135129.8600000003</v>
      </c>
      <c r="H114" s="11">
        <f t="shared" si="4"/>
        <v>7140646.8100000005</v>
      </c>
    </row>
    <row r="115" spans="1:8" x14ac:dyDescent="0.35">
      <c r="A115" s="7">
        <v>43635</v>
      </c>
      <c r="B115" s="11">
        <v>485295.38</v>
      </c>
      <c r="C115" s="9">
        <v>4828.46</v>
      </c>
      <c r="D115" s="10">
        <v>16277.59</v>
      </c>
      <c r="E115" s="10">
        <v>411444.36</v>
      </c>
      <c r="F115" s="10"/>
      <c r="G115" s="10">
        <f>56670.99+5771884.2</f>
        <v>5828555.1900000004</v>
      </c>
      <c r="H115" s="11">
        <f t="shared" si="4"/>
        <v>6746400.9800000004</v>
      </c>
    </row>
    <row r="116" spans="1:8" x14ac:dyDescent="0.35">
      <c r="A116" s="7">
        <v>43665</v>
      </c>
      <c r="B116" s="100">
        <v>478121.51</v>
      </c>
      <c r="C116" s="100">
        <v>1874</v>
      </c>
      <c r="D116" s="100">
        <v>12369.89</v>
      </c>
      <c r="E116" s="100">
        <v>171511.06</v>
      </c>
      <c r="F116" s="100"/>
      <c r="G116" s="100">
        <f>153517.05+10231963.42</f>
        <v>10385480.470000001</v>
      </c>
      <c r="H116" s="11">
        <f t="shared" si="4"/>
        <v>11049356.93</v>
      </c>
    </row>
    <row r="117" spans="1:8" x14ac:dyDescent="0.35">
      <c r="A117" s="7">
        <v>43696</v>
      </c>
      <c r="B117" s="100">
        <v>640790.32999999996</v>
      </c>
      <c r="C117" s="100">
        <v>1579.25</v>
      </c>
      <c r="D117" s="100">
        <v>11165.88</v>
      </c>
      <c r="E117" s="100">
        <v>256726.94</v>
      </c>
      <c r="F117" s="100"/>
      <c r="G117" s="100">
        <f>5718817.65+114770.2</f>
        <v>5833587.8500000006</v>
      </c>
      <c r="H117" s="11">
        <f t="shared" si="4"/>
        <v>6743850.25</v>
      </c>
    </row>
    <row r="118" spans="1:8" x14ac:dyDescent="0.35">
      <c r="A118" s="7">
        <v>43727</v>
      </c>
      <c r="B118" s="11">
        <v>534759.94999999995</v>
      </c>
      <c r="C118" s="9">
        <v>3277.44</v>
      </c>
      <c r="D118" s="10">
        <v>9741.18</v>
      </c>
      <c r="E118" s="10">
        <v>231170.22</v>
      </c>
      <c r="F118" s="10"/>
      <c r="G118" s="10">
        <v>7002887.1300000008</v>
      </c>
      <c r="H118" s="11">
        <f t="shared" si="4"/>
        <v>7781835.9200000009</v>
      </c>
    </row>
    <row r="119" spans="1:8" x14ac:dyDescent="0.35">
      <c r="A119" s="7">
        <v>43757</v>
      </c>
      <c r="B119" s="11">
        <v>584700.52</v>
      </c>
      <c r="C119" s="9">
        <v>2206.73</v>
      </c>
      <c r="D119" s="10">
        <v>9913.9500000000007</v>
      </c>
      <c r="E119" s="10">
        <v>194012.44</v>
      </c>
      <c r="F119" s="10"/>
      <c r="G119" s="10">
        <v>5814410.9800000004</v>
      </c>
      <c r="H119" s="11">
        <f t="shared" si="4"/>
        <v>6605244.6200000001</v>
      </c>
    </row>
    <row r="120" spans="1:8" x14ac:dyDescent="0.35">
      <c r="A120" s="7">
        <v>43788</v>
      </c>
      <c r="B120" s="11">
        <v>503130.33</v>
      </c>
      <c r="C120" s="9">
        <v>2450.75</v>
      </c>
      <c r="D120" s="10">
        <v>14444.75</v>
      </c>
      <c r="E120" s="10">
        <v>252079.37</v>
      </c>
      <c r="F120" s="10"/>
      <c r="G120" s="10">
        <v>5568321.4300000006</v>
      </c>
      <c r="H120" s="11">
        <f t="shared" si="4"/>
        <v>6340426.6300000008</v>
      </c>
    </row>
    <row r="121" spans="1:8" ht="15" thickBot="1" x14ac:dyDescent="0.4">
      <c r="A121" s="15">
        <v>43818</v>
      </c>
      <c r="B121" s="54">
        <v>470135.61</v>
      </c>
      <c r="C121" s="73">
        <v>2509.41</v>
      </c>
      <c r="D121" s="74">
        <v>7425.49</v>
      </c>
      <c r="E121" s="74">
        <v>235628.36</v>
      </c>
      <c r="F121" s="74"/>
      <c r="G121" s="74">
        <f>110861.17+6482790.63</f>
        <v>6593651.7999999998</v>
      </c>
      <c r="H121" s="54">
        <f t="shared" si="4"/>
        <v>7309350.6699999999</v>
      </c>
    </row>
    <row r="122" spans="1:8" x14ac:dyDescent="0.35">
      <c r="A122" s="53">
        <v>43849</v>
      </c>
      <c r="B122" s="132">
        <v>497201.4</v>
      </c>
      <c r="C122" s="132">
        <v>392.75</v>
      </c>
      <c r="D122" s="132">
        <v>15472.03</v>
      </c>
      <c r="E122" s="132">
        <v>279057.33</v>
      </c>
      <c r="F122" s="132"/>
      <c r="G122" s="132">
        <v>5504873.1100000003</v>
      </c>
      <c r="H122" s="70">
        <f t="shared" si="4"/>
        <v>6296996.6200000001</v>
      </c>
    </row>
    <row r="123" spans="1:8" x14ac:dyDescent="0.35">
      <c r="A123" s="7">
        <v>43880</v>
      </c>
      <c r="B123" s="11">
        <v>482068.96</v>
      </c>
      <c r="C123" s="11">
        <v>1892.34</v>
      </c>
      <c r="D123" s="11">
        <v>8682.5499999999993</v>
      </c>
      <c r="E123" s="11">
        <v>247717.95</v>
      </c>
      <c r="F123" s="11"/>
      <c r="G123" s="11">
        <v>3798201.5900000003</v>
      </c>
      <c r="H123" s="11">
        <f t="shared" si="4"/>
        <v>4538563.3900000006</v>
      </c>
    </row>
    <row r="124" spans="1:8" x14ac:dyDescent="0.35">
      <c r="A124" s="7">
        <v>43909</v>
      </c>
      <c r="B124" s="11">
        <v>443802.87</v>
      </c>
      <c r="C124" s="11">
        <v>2083.56</v>
      </c>
      <c r="D124" s="11">
        <v>8844.5</v>
      </c>
      <c r="E124" s="11">
        <v>343807.67</v>
      </c>
      <c r="F124" s="11"/>
      <c r="G124" s="11">
        <v>4691846.4799999995</v>
      </c>
      <c r="H124" s="11">
        <f t="shared" si="4"/>
        <v>5490385.0799999991</v>
      </c>
    </row>
    <row r="125" spans="1:8" x14ac:dyDescent="0.35">
      <c r="A125" s="7">
        <v>43940</v>
      </c>
      <c r="B125" s="11">
        <v>187285.05</v>
      </c>
      <c r="C125" s="11">
        <v>989.5</v>
      </c>
      <c r="D125" s="11">
        <v>10881.55</v>
      </c>
      <c r="E125" s="11">
        <v>311360.49</v>
      </c>
      <c r="F125" s="11"/>
      <c r="G125" s="11">
        <v>4567217.7299999995</v>
      </c>
      <c r="H125" s="11">
        <f t="shared" ref="H125:H133" si="5">SUM(B125:G125)</f>
        <v>5077734.3199999994</v>
      </c>
    </row>
    <row r="126" spans="1:8" x14ac:dyDescent="0.35">
      <c r="A126" s="7">
        <v>43970</v>
      </c>
      <c r="B126" s="11">
        <v>243591.28</v>
      </c>
      <c r="C126" s="11">
        <v>515</v>
      </c>
      <c r="D126" s="11">
        <v>9567.7999999999993</v>
      </c>
      <c r="E126" s="11">
        <v>358996.67</v>
      </c>
      <c r="F126" s="11"/>
      <c r="G126" s="11">
        <v>4479619.4400000004</v>
      </c>
      <c r="H126" s="11">
        <f t="shared" si="5"/>
        <v>5092290.1900000004</v>
      </c>
    </row>
    <row r="127" spans="1:8" x14ac:dyDescent="0.35">
      <c r="A127" s="7">
        <v>44001</v>
      </c>
      <c r="B127" s="11">
        <v>405065.99</v>
      </c>
      <c r="C127" s="11">
        <v>21067.68</v>
      </c>
      <c r="D127" s="11">
        <v>7285.9</v>
      </c>
      <c r="E127" s="11">
        <v>272740.92</v>
      </c>
      <c r="F127" s="11">
        <v>825</v>
      </c>
      <c r="G127" s="11">
        <v>6612742.3799999999</v>
      </c>
      <c r="H127" s="11">
        <f t="shared" si="5"/>
        <v>7319727.8700000001</v>
      </c>
    </row>
    <row r="128" spans="1:8" x14ac:dyDescent="0.35">
      <c r="A128" s="7">
        <v>44031</v>
      </c>
      <c r="B128" s="11">
        <v>338771.83</v>
      </c>
      <c r="C128" s="11">
        <v>3187.75</v>
      </c>
      <c r="D128" s="11">
        <v>73851.7</v>
      </c>
      <c r="E128" s="11">
        <v>185400.9</v>
      </c>
      <c r="F128" s="11">
        <v>74.52</v>
      </c>
      <c r="G128" s="11">
        <v>4753176.66</v>
      </c>
      <c r="H128" s="11">
        <f t="shared" si="5"/>
        <v>5354463.3600000003</v>
      </c>
    </row>
    <row r="129" spans="1:8" x14ac:dyDescent="0.35">
      <c r="A129" s="7">
        <v>44062</v>
      </c>
      <c r="B129" s="11">
        <v>327110.03999999998</v>
      </c>
      <c r="C129" s="11">
        <v>3747.85</v>
      </c>
      <c r="D129" s="11">
        <v>10753.08</v>
      </c>
      <c r="E129" s="11">
        <v>184840.81</v>
      </c>
      <c r="F129" s="11"/>
      <c r="G129" s="11">
        <v>4599407.88</v>
      </c>
      <c r="H129" s="11">
        <f t="shared" si="5"/>
        <v>5125859.66</v>
      </c>
    </row>
    <row r="130" spans="1:8" x14ac:dyDescent="0.35">
      <c r="A130" s="7">
        <v>44093</v>
      </c>
      <c r="B130" s="11">
        <v>412980.47999999998</v>
      </c>
      <c r="C130" s="11">
        <v>2848.68</v>
      </c>
      <c r="D130" s="11">
        <v>7690.98</v>
      </c>
      <c r="E130" s="11">
        <v>215842.33</v>
      </c>
      <c r="F130" s="11"/>
      <c r="G130" s="11">
        <v>5851531.2000000002</v>
      </c>
      <c r="H130" s="11">
        <f t="shared" si="5"/>
        <v>6490893.6699999999</v>
      </c>
    </row>
    <row r="131" spans="1:8" x14ac:dyDescent="0.35">
      <c r="A131" s="7">
        <v>44123</v>
      </c>
      <c r="B131" s="11">
        <v>496375.81</v>
      </c>
      <c r="C131" s="11">
        <v>4452.17</v>
      </c>
      <c r="D131" s="11">
        <v>34148.639999999999</v>
      </c>
      <c r="E131" s="11">
        <v>398431.24</v>
      </c>
      <c r="F131" s="11"/>
      <c r="G131" s="11">
        <v>5911507.8399999999</v>
      </c>
      <c r="H131" s="11">
        <f t="shared" si="5"/>
        <v>6844915.7000000002</v>
      </c>
    </row>
    <row r="132" spans="1:8" x14ac:dyDescent="0.35">
      <c r="A132" s="7">
        <v>44154</v>
      </c>
      <c r="B132" s="11">
        <v>424802.24</v>
      </c>
      <c r="C132" s="11">
        <v>5682.25</v>
      </c>
      <c r="D132" s="11">
        <v>8283.91</v>
      </c>
      <c r="E132" s="11">
        <v>313711.02</v>
      </c>
      <c r="F132" s="11">
        <v>13996.96</v>
      </c>
      <c r="G132" s="11">
        <v>6001288.2299999995</v>
      </c>
      <c r="H132" s="11">
        <f t="shared" si="5"/>
        <v>6767764.6099999994</v>
      </c>
    </row>
    <row r="133" spans="1:8" ht="15" thickBot="1" x14ac:dyDescent="0.4">
      <c r="A133" s="15">
        <v>44184</v>
      </c>
      <c r="B133" s="54">
        <v>440121.91</v>
      </c>
      <c r="C133" s="54">
        <v>3240.25</v>
      </c>
      <c r="D133" s="54">
        <v>12041.34</v>
      </c>
      <c r="E133" s="54">
        <v>216236.3</v>
      </c>
      <c r="F133" s="54">
        <v>1917</v>
      </c>
      <c r="G133" s="54">
        <v>7889143.3899999997</v>
      </c>
      <c r="H133" s="54">
        <f t="shared" si="5"/>
        <v>8562700.1899999995</v>
      </c>
    </row>
    <row r="134" spans="1:8" x14ac:dyDescent="0.35">
      <c r="A134" s="53">
        <v>44215</v>
      </c>
      <c r="B134" s="70">
        <v>378388.23</v>
      </c>
      <c r="C134" s="70">
        <v>3679.99</v>
      </c>
      <c r="D134" s="70">
        <v>12911.19</v>
      </c>
      <c r="E134" s="70">
        <v>289135.78999999998</v>
      </c>
      <c r="F134" s="70"/>
      <c r="G134" s="70">
        <v>4925829.6500000004</v>
      </c>
      <c r="H134" s="70">
        <f t="shared" ref="H134:H136" si="6">SUM(B134:G134)</f>
        <v>5609944.8500000006</v>
      </c>
    </row>
    <row r="135" spans="1:8" x14ac:dyDescent="0.35">
      <c r="A135" s="7">
        <v>44246</v>
      </c>
      <c r="B135" s="11">
        <v>395571</v>
      </c>
      <c r="C135" s="11">
        <v>41.25</v>
      </c>
      <c r="D135" s="11">
        <v>9674.19</v>
      </c>
      <c r="E135" s="11">
        <v>199809.22</v>
      </c>
      <c r="F135" s="11"/>
      <c r="G135" s="11">
        <v>5835136.1600000001</v>
      </c>
      <c r="H135" s="11">
        <f t="shared" si="6"/>
        <v>6440231.8200000003</v>
      </c>
    </row>
    <row r="136" spans="1:8" x14ac:dyDescent="0.35">
      <c r="A136" s="7">
        <v>44274</v>
      </c>
      <c r="B136" s="11">
        <v>421284.06</v>
      </c>
      <c r="C136" s="11">
        <v>9752.7099999999991</v>
      </c>
      <c r="D136" s="11">
        <v>10149.11</v>
      </c>
      <c r="E136" s="11">
        <v>457703.13</v>
      </c>
      <c r="F136" s="11">
        <v>2623</v>
      </c>
      <c r="G136" s="11">
        <v>6409149.5899999999</v>
      </c>
      <c r="H136" s="11">
        <f t="shared" si="6"/>
        <v>7310661.5999999996</v>
      </c>
    </row>
    <row r="137" spans="1:8" x14ac:dyDescent="0.35">
      <c r="A137" s="7">
        <v>44305</v>
      </c>
      <c r="B137" s="11">
        <v>444659.1</v>
      </c>
      <c r="C137" s="11">
        <v>4732.3900000000003</v>
      </c>
      <c r="D137" s="11">
        <v>13352.97</v>
      </c>
      <c r="E137" s="11">
        <v>413290.15</v>
      </c>
      <c r="F137" s="11"/>
      <c r="G137" s="11">
        <v>6980223.79</v>
      </c>
      <c r="H137" s="11">
        <f t="shared" ref="H137:H148" si="7">SUM(B137:G137)</f>
        <v>7856258.4000000004</v>
      </c>
    </row>
    <row r="138" spans="1:8" x14ac:dyDescent="0.35">
      <c r="A138" s="7">
        <v>44335</v>
      </c>
      <c r="B138" s="11">
        <v>382324.32</v>
      </c>
      <c r="C138" s="11">
        <v>7530.05</v>
      </c>
      <c r="D138" s="11">
        <v>12575.92</v>
      </c>
      <c r="E138" s="11">
        <v>246596.94</v>
      </c>
      <c r="F138" s="11">
        <v>1394</v>
      </c>
      <c r="G138" s="11">
        <v>7176753.1000000006</v>
      </c>
      <c r="H138" s="11">
        <v>7827174.3300000001</v>
      </c>
    </row>
    <row r="139" spans="1:8" x14ac:dyDescent="0.35">
      <c r="A139" s="7">
        <v>44366</v>
      </c>
      <c r="B139" s="11">
        <v>459149.03</v>
      </c>
      <c r="C139" s="11">
        <v>16177.98</v>
      </c>
      <c r="D139" s="11">
        <v>10535.19</v>
      </c>
      <c r="E139" s="11">
        <v>288368.55</v>
      </c>
      <c r="F139" s="11"/>
      <c r="G139" s="11">
        <v>7355836.3799999999</v>
      </c>
      <c r="H139" s="11">
        <f t="shared" si="7"/>
        <v>8130067.1299999999</v>
      </c>
    </row>
    <row r="140" spans="1:8" x14ac:dyDescent="0.35">
      <c r="A140" s="7">
        <v>44396</v>
      </c>
      <c r="B140" s="11">
        <v>434609.89</v>
      </c>
      <c r="C140" s="11">
        <v>4919</v>
      </c>
      <c r="D140" s="11">
        <v>16296.5</v>
      </c>
      <c r="E140" s="11">
        <v>244837.34</v>
      </c>
      <c r="F140" s="11"/>
      <c r="G140" s="11">
        <v>7207068.2800000003</v>
      </c>
      <c r="H140" s="11">
        <f t="shared" si="7"/>
        <v>7907731.0099999998</v>
      </c>
    </row>
    <row r="141" spans="1:8" x14ac:dyDescent="0.35">
      <c r="A141" s="7">
        <v>44427</v>
      </c>
      <c r="B141" s="11">
        <v>442193.86</v>
      </c>
      <c r="C141" s="11">
        <v>3895</v>
      </c>
      <c r="D141" s="11">
        <v>14973.52</v>
      </c>
      <c r="E141" s="11">
        <v>359377.61</v>
      </c>
      <c r="F141" s="11">
        <v>5075</v>
      </c>
      <c r="G141" s="11">
        <v>7472225.54</v>
      </c>
      <c r="H141" s="11">
        <f t="shared" si="7"/>
        <v>8297740.5300000003</v>
      </c>
    </row>
    <row r="142" spans="1:8" x14ac:dyDescent="0.35">
      <c r="A142" s="7">
        <v>44458</v>
      </c>
      <c r="B142" s="11">
        <v>642909.5</v>
      </c>
      <c r="C142" s="11">
        <v>5191.03</v>
      </c>
      <c r="D142" s="11">
        <v>35978.769999999997</v>
      </c>
      <c r="E142" s="11">
        <v>283829.05</v>
      </c>
      <c r="F142" s="11">
        <v>6153.78</v>
      </c>
      <c r="G142" s="11">
        <v>7684737.0599999996</v>
      </c>
      <c r="H142" s="11">
        <f t="shared" si="7"/>
        <v>8658799.1899999995</v>
      </c>
    </row>
    <row r="143" spans="1:8" x14ac:dyDescent="0.35">
      <c r="A143" s="7">
        <v>44488</v>
      </c>
      <c r="B143" s="11">
        <v>612930.93999999994</v>
      </c>
      <c r="C143" s="11">
        <v>39585.699999999997</v>
      </c>
      <c r="D143" s="11">
        <v>40697.82</v>
      </c>
      <c r="E143" s="11">
        <v>260949.02</v>
      </c>
      <c r="F143" s="11">
        <v>5901</v>
      </c>
      <c r="G143" s="11">
        <v>11382815.6</v>
      </c>
      <c r="H143" s="11">
        <f t="shared" si="7"/>
        <v>12342880.08</v>
      </c>
    </row>
    <row r="144" spans="1:8" x14ac:dyDescent="0.35">
      <c r="A144" s="7">
        <v>44519</v>
      </c>
      <c r="B144" s="11">
        <v>559227.13</v>
      </c>
      <c r="C144" s="11">
        <v>9393.9</v>
      </c>
      <c r="D144" s="11">
        <v>13520.04</v>
      </c>
      <c r="E144" s="11">
        <v>332893.21000000002</v>
      </c>
      <c r="F144" s="11">
        <v>5562</v>
      </c>
      <c r="G144" s="11">
        <v>9048823.3200000003</v>
      </c>
      <c r="H144" s="11">
        <f t="shared" si="7"/>
        <v>9969419.5999999996</v>
      </c>
    </row>
    <row r="145" spans="1:8" ht="15" thickBot="1" x14ac:dyDescent="0.4">
      <c r="A145" s="15">
        <v>44549</v>
      </c>
      <c r="B145" s="54">
        <v>489923.46</v>
      </c>
      <c r="C145" s="54">
        <v>11977.18</v>
      </c>
      <c r="D145" s="54">
        <v>45398.84</v>
      </c>
      <c r="E145" s="54">
        <v>204957.41</v>
      </c>
      <c r="F145" s="54">
        <v>6213</v>
      </c>
      <c r="G145" s="54">
        <v>9725296.7800000012</v>
      </c>
      <c r="H145" s="54">
        <f t="shared" si="7"/>
        <v>10483766.670000002</v>
      </c>
    </row>
    <row r="146" spans="1:8" x14ac:dyDescent="0.35">
      <c r="A146" s="53">
        <v>44583</v>
      </c>
      <c r="B146" s="70">
        <v>452489.44</v>
      </c>
      <c r="C146" s="70">
        <v>8443.19</v>
      </c>
      <c r="D146" s="70">
        <v>72615.289999999994</v>
      </c>
      <c r="E146" s="70">
        <v>277937.14</v>
      </c>
      <c r="F146" s="70">
        <v>5252</v>
      </c>
      <c r="G146" s="70">
        <v>7613521.4299999997</v>
      </c>
      <c r="H146" s="70">
        <f t="shared" si="7"/>
        <v>8430258.4900000002</v>
      </c>
    </row>
    <row r="147" spans="1:8" x14ac:dyDescent="0.35">
      <c r="A147" s="7">
        <v>44614</v>
      </c>
      <c r="B147" s="11">
        <v>517678.26</v>
      </c>
      <c r="C147" s="11">
        <v>13595.95</v>
      </c>
      <c r="D147" s="11">
        <v>21218.799999999999</v>
      </c>
      <c r="E147" s="11">
        <v>212993.23</v>
      </c>
      <c r="F147" s="11">
        <v>6648.3</v>
      </c>
      <c r="G147" s="11">
        <v>6882682.9900000002</v>
      </c>
      <c r="H147" s="11">
        <f t="shared" si="7"/>
        <v>7654817.5300000003</v>
      </c>
    </row>
    <row r="148" spans="1:8" x14ac:dyDescent="0.35">
      <c r="A148" s="7">
        <v>44642</v>
      </c>
      <c r="B148" s="11">
        <v>611541.78</v>
      </c>
      <c r="C148" s="11">
        <v>14783.37</v>
      </c>
      <c r="D148" s="11">
        <v>13607.28</v>
      </c>
      <c r="E148" s="11">
        <v>325163.23</v>
      </c>
      <c r="F148" s="11">
        <v>6368</v>
      </c>
      <c r="G148" s="11">
        <v>8427298.4400000013</v>
      </c>
      <c r="H148" s="11">
        <f t="shared" si="7"/>
        <v>9398762.1000000015</v>
      </c>
    </row>
    <row r="149" spans="1:8" x14ac:dyDescent="0.35">
      <c r="A149" s="7">
        <v>44673</v>
      </c>
      <c r="B149" s="11">
        <v>641896</v>
      </c>
      <c r="C149" s="11">
        <v>13977</v>
      </c>
      <c r="D149" s="11">
        <v>61319</v>
      </c>
      <c r="E149" s="11">
        <v>1446615</v>
      </c>
      <c r="F149" s="11">
        <v>5973</v>
      </c>
      <c r="G149" s="11">
        <v>7263854</v>
      </c>
      <c r="H149" s="11">
        <f t="shared" ref="H149:H150" si="8">SUM(B149:G149)</f>
        <v>9433634</v>
      </c>
    </row>
    <row r="150" spans="1:8" x14ac:dyDescent="0.35">
      <c r="A150" s="7">
        <v>44703</v>
      </c>
      <c r="B150" s="11">
        <v>485731.14</v>
      </c>
      <c r="C150" s="11">
        <v>10004.5</v>
      </c>
      <c r="D150" s="11">
        <v>18785.86</v>
      </c>
      <c r="E150" s="11">
        <v>299758.55</v>
      </c>
      <c r="F150" s="11">
        <v>6848.15</v>
      </c>
      <c r="G150" s="11">
        <v>7065783</v>
      </c>
      <c r="H150" s="11">
        <f t="shared" si="8"/>
        <v>7886911.2000000002</v>
      </c>
    </row>
    <row r="151" spans="1:8" x14ac:dyDescent="0.35">
      <c r="A151" s="7">
        <v>44734</v>
      </c>
      <c r="B151" s="11">
        <v>449996</v>
      </c>
      <c r="C151" s="11">
        <v>9863</v>
      </c>
      <c r="D151" s="11">
        <v>31431</v>
      </c>
      <c r="E151" s="11">
        <v>288605</v>
      </c>
      <c r="F151" s="11">
        <v>8164</v>
      </c>
      <c r="G151" s="11">
        <v>10201643</v>
      </c>
      <c r="H151" s="11">
        <f t="shared" ref="H151:H162" si="9">SUM(B151:G151)</f>
        <v>10989702</v>
      </c>
    </row>
    <row r="152" spans="1:8" x14ac:dyDescent="0.35">
      <c r="A152" s="7">
        <v>44764</v>
      </c>
      <c r="B152" s="11">
        <v>431184</v>
      </c>
      <c r="C152" s="11">
        <v>15574</v>
      </c>
      <c r="D152" s="11">
        <v>104657</v>
      </c>
      <c r="E152" s="11">
        <v>185144</v>
      </c>
      <c r="F152" s="11">
        <v>6149</v>
      </c>
      <c r="G152" s="11">
        <v>7246459</v>
      </c>
      <c r="H152" s="11">
        <f t="shared" si="9"/>
        <v>7989167</v>
      </c>
    </row>
    <row r="153" spans="1:8" x14ac:dyDescent="0.35">
      <c r="A153" s="7">
        <v>44795</v>
      </c>
      <c r="B153" s="11">
        <v>512962</v>
      </c>
      <c r="C153" s="11">
        <v>6385</v>
      </c>
      <c r="D153" s="11">
        <v>74789</v>
      </c>
      <c r="E153" s="11">
        <v>431837</v>
      </c>
      <c r="F153" s="11"/>
      <c r="G153" s="11">
        <v>5620311</v>
      </c>
      <c r="H153" s="11">
        <f t="shared" si="9"/>
        <v>6646284</v>
      </c>
    </row>
    <row r="154" spans="1:8" x14ac:dyDescent="0.35">
      <c r="A154" s="7">
        <v>44826</v>
      </c>
      <c r="B154" s="11">
        <v>502952.82</v>
      </c>
      <c r="C154" s="11">
        <v>11790.14</v>
      </c>
      <c r="D154" s="11">
        <v>7039.12</v>
      </c>
      <c r="E154" s="11">
        <v>417694.32</v>
      </c>
      <c r="F154" s="11">
        <v>13753.29</v>
      </c>
      <c r="G154" s="11">
        <v>8197156.79</v>
      </c>
      <c r="H154" s="11">
        <f t="shared" si="9"/>
        <v>9150386.4800000004</v>
      </c>
    </row>
    <row r="155" spans="1:8" x14ac:dyDescent="0.35">
      <c r="A155" s="7">
        <v>44856</v>
      </c>
      <c r="B155" s="11">
        <v>545591</v>
      </c>
      <c r="C155" s="11">
        <v>14262</v>
      </c>
      <c r="D155" s="11">
        <v>27536</v>
      </c>
      <c r="E155" s="11">
        <v>550948</v>
      </c>
      <c r="F155" s="11">
        <v>5805</v>
      </c>
      <c r="G155" s="11">
        <v>6609204</v>
      </c>
      <c r="H155" s="11">
        <f t="shared" si="9"/>
        <v>7753346</v>
      </c>
    </row>
    <row r="156" spans="1:8" x14ac:dyDescent="0.35">
      <c r="A156" s="7">
        <v>44887</v>
      </c>
      <c r="B156" s="11">
        <v>380676</v>
      </c>
      <c r="C156" s="11">
        <v>2569</v>
      </c>
      <c r="D156" s="11">
        <v>98998</v>
      </c>
      <c r="E156" s="11">
        <v>487828</v>
      </c>
      <c r="F156" s="11">
        <v>11758</v>
      </c>
      <c r="G156" s="11">
        <v>9243403</v>
      </c>
      <c r="H156" s="11">
        <f t="shared" si="9"/>
        <v>10225232</v>
      </c>
    </row>
    <row r="157" spans="1:8" ht="15" thickBot="1" x14ac:dyDescent="0.4">
      <c r="A157" s="15">
        <v>44917</v>
      </c>
      <c r="B157" s="54">
        <v>383934</v>
      </c>
      <c r="C157" s="54">
        <v>3961</v>
      </c>
      <c r="D157" s="54">
        <v>42283</v>
      </c>
      <c r="E157" s="54">
        <v>190390</v>
      </c>
      <c r="F157" s="54">
        <v>13315</v>
      </c>
      <c r="G157" s="54">
        <v>7046581</v>
      </c>
      <c r="H157" s="54">
        <f t="shared" si="9"/>
        <v>7680464</v>
      </c>
    </row>
    <row r="158" spans="1:8" x14ac:dyDescent="0.35">
      <c r="A158" s="53">
        <v>44948</v>
      </c>
      <c r="B158" s="70">
        <v>471618</v>
      </c>
      <c r="C158" s="70">
        <v>1911</v>
      </c>
      <c r="D158" s="70">
        <v>20442</v>
      </c>
      <c r="E158" s="70">
        <v>258681</v>
      </c>
      <c r="F158" s="70">
        <v>8050</v>
      </c>
      <c r="G158" s="70">
        <v>6157104</v>
      </c>
      <c r="H158" s="70">
        <f t="shared" si="9"/>
        <v>6917806</v>
      </c>
    </row>
    <row r="159" spans="1:8" x14ac:dyDescent="0.35">
      <c r="A159" s="7">
        <v>44979</v>
      </c>
      <c r="B159" s="11">
        <v>409945</v>
      </c>
      <c r="C159" s="11">
        <v>1607</v>
      </c>
      <c r="D159" s="11">
        <v>24440</v>
      </c>
      <c r="E159" s="11">
        <v>282520</v>
      </c>
      <c r="F159" s="11">
        <v>6359</v>
      </c>
      <c r="G159" s="11">
        <v>7137715</v>
      </c>
      <c r="H159" s="11">
        <f t="shared" si="9"/>
        <v>7862586</v>
      </c>
    </row>
    <row r="160" spans="1:8" x14ac:dyDescent="0.35">
      <c r="A160" s="7">
        <v>45007</v>
      </c>
      <c r="B160" s="100">
        <v>489751.57</v>
      </c>
      <c r="C160" s="299">
        <v>4197.21</v>
      </c>
      <c r="D160" s="299">
        <v>21236.09</v>
      </c>
      <c r="E160" s="299">
        <v>406944.07</v>
      </c>
      <c r="F160" s="299">
        <v>10894.61</v>
      </c>
      <c r="G160" s="122">
        <f>119294.94+7890865.26</f>
        <v>8010160.2000000002</v>
      </c>
      <c r="H160" s="11">
        <f t="shared" si="9"/>
        <v>8943183.75</v>
      </c>
    </row>
    <row r="161" spans="1:8" x14ac:dyDescent="0.35">
      <c r="A161" s="42">
        <v>45038</v>
      </c>
      <c r="B161" s="11">
        <v>684667</v>
      </c>
      <c r="C161" s="11">
        <v>3739</v>
      </c>
      <c r="D161" s="11">
        <v>25300</v>
      </c>
      <c r="E161" s="11">
        <v>341976</v>
      </c>
      <c r="F161" s="11">
        <v>6167</v>
      </c>
      <c r="G161" s="11">
        <v>5248619</v>
      </c>
      <c r="H161" s="11">
        <f t="shared" si="9"/>
        <v>6310468</v>
      </c>
    </row>
    <row r="162" spans="1:8" x14ac:dyDescent="0.35">
      <c r="A162" s="7">
        <v>45068</v>
      </c>
      <c r="B162" s="11">
        <v>526236</v>
      </c>
      <c r="C162" s="11">
        <v>4034</v>
      </c>
      <c r="D162" s="11">
        <v>34682</v>
      </c>
      <c r="E162" s="11">
        <v>328524</v>
      </c>
      <c r="F162" s="11">
        <v>9060</v>
      </c>
      <c r="G162" s="11">
        <v>7034980</v>
      </c>
      <c r="H162" s="11">
        <f t="shared" si="9"/>
        <v>7937516</v>
      </c>
    </row>
    <row r="163" spans="1:8" x14ac:dyDescent="0.35">
      <c r="A163" s="7">
        <v>45099</v>
      </c>
      <c r="B163" s="11">
        <v>415685</v>
      </c>
      <c r="C163" s="11">
        <v>13130</v>
      </c>
      <c r="D163" s="11">
        <v>27698</v>
      </c>
      <c r="E163" s="11">
        <v>357349</v>
      </c>
      <c r="F163" s="11">
        <v>9201</v>
      </c>
      <c r="G163" s="11">
        <v>8165492</v>
      </c>
      <c r="H163" s="11">
        <f t="shared" ref="H163:H180" si="10">SUM(B163:G163)</f>
        <v>8988555</v>
      </c>
    </row>
    <row r="164" spans="1:8" x14ac:dyDescent="0.35">
      <c r="A164" s="42">
        <v>45129</v>
      </c>
      <c r="B164" s="11">
        <v>361937</v>
      </c>
      <c r="C164" s="11">
        <v>522</v>
      </c>
      <c r="D164" s="11">
        <v>27234</v>
      </c>
      <c r="E164" s="11">
        <v>246480</v>
      </c>
      <c r="F164" s="11">
        <v>9307</v>
      </c>
      <c r="G164" s="11">
        <v>7592536</v>
      </c>
      <c r="H164" s="11">
        <f t="shared" si="10"/>
        <v>8238016</v>
      </c>
    </row>
    <row r="165" spans="1:8" x14ac:dyDescent="0.35">
      <c r="A165" s="7">
        <v>45160</v>
      </c>
      <c r="B165" s="11">
        <v>546181</v>
      </c>
      <c r="C165" s="11">
        <v>2693</v>
      </c>
      <c r="D165" s="11">
        <v>34980</v>
      </c>
      <c r="E165" s="11">
        <v>356870</v>
      </c>
      <c r="F165" s="11">
        <v>10724</v>
      </c>
      <c r="G165" s="11">
        <v>7924406</v>
      </c>
      <c r="H165" s="11">
        <f t="shared" si="10"/>
        <v>8875854</v>
      </c>
    </row>
    <row r="166" spans="1:8" x14ac:dyDescent="0.35">
      <c r="A166" s="7">
        <v>45191</v>
      </c>
      <c r="B166" s="11">
        <v>544100</v>
      </c>
      <c r="C166" s="11">
        <v>7548</v>
      </c>
      <c r="D166" s="11">
        <v>26160</v>
      </c>
      <c r="E166" s="11">
        <v>376532</v>
      </c>
      <c r="F166" s="11">
        <v>9587</v>
      </c>
      <c r="G166" s="11">
        <v>7679214</v>
      </c>
      <c r="H166" s="11">
        <f t="shared" si="10"/>
        <v>8643141</v>
      </c>
    </row>
    <row r="167" spans="1:8" x14ac:dyDescent="0.35">
      <c r="A167" s="42">
        <v>45221</v>
      </c>
      <c r="B167" s="11">
        <v>504160</v>
      </c>
      <c r="C167" s="11">
        <v>1035</v>
      </c>
      <c r="D167" s="11">
        <v>134562</v>
      </c>
      <c r="E167" s="11">
        <v>264230</v>
      </c>
      <c r="F167" s="11">
        <v>7986</v>
      </c>
      <c r="G167" s="11">
        <v>6606159</v>
      </c>
      <c r="H167" s="11">
        <f t="shared" si="10"/>
        <v>7518132</v>
      </c>
    </row>
    <row r="168" spans="1:8" x14ac:dyDescent="0.35">
      <c r="A168" s="7">
        <v>45252</v>
      </c>
      <c r="B168" s="100">
        <v>580317.93999999994</v>
      </c>
      <c r="C168" s="100">
        <v>2242.65</v>
      </c>
      <c r="D168" s="100">
        <v>33533.9</v>
      </c>
      <c r="E168" s="100">
        <v>199956.97</v>
      </c>
      <c r="F168" s="100">
        <v>10546</v>
      </c>
      <c r="G168" s="122">
        <f>139148.93+8739029.28</f>
        <v>8878178.209999999</v>
      </c>
      <c r="H168" s="11">
        <f t="shared" si="10"/>
        <v>9704775.6699999981</v>
      </c>
    </row>
    <row r="169" spans="1:8" ht="15" thickBot="1" x14ac:dyDescent="0.4">
      <c r="A169" s="15">
        <v>45282</v>
      </c>
      <c r="B169" s="54">
        <v>435023.64</v>
      </c>
      <c r="C169" s="54">
        <v>12344.24</v>
      </c>
      <c r="D169" s="54">
        <v>35587.11</v>
      </c>
      <c r="E169" s="54">
        <v>287169.67</v>
      </c>
      <c r="F169" s="54">
        <v>10754.61</v>
      </c>
      <c r="G169" s="54">
        <v>9153138.9299999997</v>
      </c>
      <c r="H169" s="54">
        <f t="shared" si="10"/>
        <v>9934018.1999999993</v>
      </c>
    </row>
    <row r="170" spans="1:8" x14ac:dyDescent="0.35">
      <c r="A170" s="53">
        <v>45313</v>
      </c>
      <c r="B170" s="132">
        <v>440692.08</v>
      </c>
      <c r="C170" s="132">
        <v>3333.14</v>
      </c>
      <c r="D170" s="132">
        <v>76887.789999999994</v>
      </c>
      <c r="E170" s="132">
        <v>148055.88</v>
      </c>
      <c r="F170" s="132"/>
      <c r="G170" s="132">
        <f>59119.1+6460024.06</f>
        <v>6519143.1599999992</v>
      </c>
      <c r="H170" s="11">
        <f t="shared" si="10"/>
        <v>7188112.0499999989</v>
      </c>
    </row>
    <row r="171" spans="1:8" x14ac:dyDescent="0.35">
      <c r="A171" s="7">
        <v>45344</v>
      </c>
      <c r="B171" s="100">
        <v>503961.99</v>
      </c>
      <c r="C171" s="100">
        <v>2293.81</v>
      </c>
      <c r="D171" s="100">
        <v>48515.11</v>
      </c>
      <c r="E171" s="100">
        <v>245820.19</v>
      </c>
      <c r="F171" s="100"/>
      <c r="G171" s="101">
        <f>37766.75+977.97+6381463.52</f>
        <v>6420208.2399999993</v>
      </c>
      <c r="H171" s="11">
        <f t="shared" si="10"/>
        <v>7220799.3399999999</v>
      </c>
    </row>
    <row r="172" spans="1:8" x14ac:dyDescent="0.35">
      <c r="A172" s="7">
        <v>45373</v>
      </c>
      <c r="B172" s="100">
        <v>518700.85</v>
      </c>
      <c r="C172" s="100">
        <v>7030.27</v>
      </c>
      <c r="D172" s="100">
        <v>85180.01</v>
      </c>
      <c r="E172" s="100">
        <v>364934.68</v>
      </c>
      <c r="F172" s="100">
        <v>2298.11</v>
      </c>
      <c r="G172" s="122">
        <f>88587.98+7677745.94</f>
        <v>7766333.9200000009</v>
      </c>
      <c r="H172" s="11">
        <f t="shared" si="10"/>
        <v>8744477.8400000017</v>
      </c>
    </row>
    <row r="173" spans="1:8" x14ac:dyDescent="0.35">
      <c r="A173" s="42">
        <v>45404</v>
      </c>
      <c r="B173" s="11">
        <v>535473.68999999994</v>
      </c>
      <c r="C173" s="11">
        <v>11498.59</v>
      </c>
      <c r="D173" s="11">
        <v>45753.67</v>
      </c>
      <c r="E173" s="11">
        <v>344876.58</v>
      </c>
      <c r="F173" s="11">
        <v>1263.56</v>
      </c>
      <c r="G173" s="11">
        <v>7858435.0599999996</v>
      </c>
      <c r="H173" s="11">
        <f t="shared" si="10"/>
        <v>8797301.1500000004</v>
      </c>
    </row>
    <row r="174" spans="1:8" x14ac:dyDescent="0.35">
      <c r="A174" s="7">
        <v>45434</v>
      </c>
      <c r="B174" s="11">
        <v>470070.51</v>
      </c>
      <c r="C174" s="11">
        <v>6709.27</v>
      </c>
      <c r="D174" s="11">
        <v>173744.62</v>
      </c>
      <c r="E174" s="11">
        <v>311827.73</v>
      </c>
      <c r="F174" s="11"/>
      <c r="G174" s="11">
        <v>6660569.7999999998</v>
      </c>
      <c r="H174" s="11">
        <f t="shared" si="10"/>
        <v>7622921.9299999997</v>
      </c>
    </row>
    <row r="175" spans="1:8" x14ac:dyDescent="0.35">
      <c r="A175" s="7">
        <v>45465</v>
      </c>
      <c r="B175" s="11">
        <v>331911.14</v>
      </c>
      <c r="C175" s="11">
        <v>5374.02</v>
      </c>
      <c r="D175" s="11">
        <v>64083.78</v>
      </c>
      <c r="E175" s="11">
        <v>372150.95</v>
      </c>
      <c r="F175" s="11">
        <v>2552.7800000000002</v>
      </c>
      <c r="G175" s="11">
        <v>8951658.3800000008</v>
      </c>
      <c r="H175" s="11">
        <f t="shared" si="10"/>
        <v>9727731.0500000007</v>
      </c>
    </row>
    <row r="176" spans="1:8" x14ac:dyDescent="0.35">
      <c r="A176" s="42">
        <v>45495</v>
      </c>
      <c r="B176" s="11">
        <v>488266.96</v>
      </c>
      <c r="C176" s="11">
        <v>6305.6</v>
      </c>
      <c r="D176" s="11">
        <v>54754.62</v>
      </c>
      <c r="E176" s="11">
        <v>177344</v>
      </c>
      <c r="F176" s="11"/>
      <c r="G176" s="11">
        <v>6195393.3799999999</v>
      </c>
      <c r="H176" s="11">
        <f t="shared" si="10"/>
        <v>6922064.5599999996</v>
      </c>
    </row>
    <row r="177" spans="1:8" x14ac:dyDescent="0.35">
      <c r="A177" s="7">
        <v>45526</v>
      </c>
      <c r="B177" s="11">
        <v>467034.96</v>
      </c>
      <c r="C177" s="11">
        <v>498606.56</v>
      </c>
      <c r="D177" s="11">
        <v>105589.21</v>
      </c>
      <c r="E177" s="11">
        <v>239108.22</v>
      </c>
      <c r="F177" s="11"/>
      <c r="G177" s="11">
        <v>6690507.9900000002</v>
      </c>
      <c r="H177" s="11">
        <f t="shared" si="10"/>
        <v>8000846.9400000004</v>
      </c>
    </row>
    <row r="178" spans="1:8" x14ac:dyDescent="0.35">
      <c r="A178" s="7">
        <v>45557</v>
      </c>
      <c r="B178" s="11">
        <v>420309.81</v>
      </c>
      <c r="C178" s="11">
        <v>10499.25</v>
      </c>
      <c r="D178" s="11">
        <v>59417.62</v>
      </c>
      <c r="E178" s="11">
        <v>222135.08</v>
      </c>
      <c r="F178" s="11">
        <v>3041.18</v>
      </c>
      <c r="G178" s="11">
        <v>5786327.5199999996</v>
      </c>
      <c r="H178" s="11">
        <f t="shared" si="10"/>
        <v>6501730.46</v>
      </c>
    </row>
    <row r="179" spans="1:8" x14ac:dyDescent="0.35">
      <c r="A179" s="42">
        <v>45587</v>
      </c>
      <c r="B179" s="11">
        <v>524822.37</v>
      </c>
      <c r="C179" s="11">
        <v>9031.14</v>
      </c>
      <c r="D179" s="11">
        <v>104203.52</v>
      </c>
      <c r="E179" s="11">
        <v>229821.98</v>
      </c>
      <c r="F179" s="11"/>
      <c r="G179" s="11">
        <v>6970709.25</v>
      </c>
      <c r="H179" s="11">
        <f t="shared" si="10"/>
        <v>7838588.2599999998</v>
      </c>
    </row>
    <row r="180" spans="1:8" x14ac:dyDescent="0.35">
      <c r="A180" s="7">
        <v>45618</v>
      </c>
      <c r="B180" s="100">
        <v>440824.84</v>
      </c>
      <c r="C180" s="100">
        <v>67621.960000000006</v>
      </c>
      <c r="D180" s="100">
        <v>42194.01</v>
      </c>
      <c r="E180" s="100">
        <v>200525.64</v>
      </c>
      <c r="F180" s="100"/>
      <c r="G180" s="122">
        <v>4560595.58</v>
      </c>
      <c r="H180" s="11">
        <f t="shared" si="10"/>
        <v>5311762.03</v>
      </c>
    </row>
    <row r="181" spans="1:8" ht="15" thickBot="1" x14ac:dyDescent="0.4">
      <c r="A181" s="15">
        <v>45648</v>
      </c>
      <c r="B181" s="54">
        <v>478154.72</v>
      </c>
      <c r="C181" s="54">
        <v>68802.31</v>
      </c>
      <c r="D181" s="54">
        <v>71620.460000000006</v>
      </c>
      <c r="E181" s="54">
        <v>382210.5</v>
      </c>
      <c r="F181" s="54">
        <v>3059.64</v>
      </c>
      <c r="G181" s="54">
        <v>8357414</v>
      </c>
      <c r="H181" s="54">
        <v>9361261.6300000008</v>
      </c>
    </row>
    <row r="182" spans="1:8" x14ac:dyDescent="0.35">
      <c r="A182" s="16"/>
      <c r="B182" s="66"/>
      <c r="C182" s="66"/>
      <c r="D182" s="66"/>
      <c r="E182" s="66"/>
      <c r="F182" s="66"/>
      <c r="G182" s="66"/>
      <c r="H182" s="66"/>
    </row>
    <row r="183" spans="1:8" ht="15" thickBot="1" x14ac:dyDescent="0.4">
      <c r="A183" s="16"/>
      <c r="B183" s="12"/>
      <c r="C183" s="12"/>
      <c r="D183" s="12"/>
      <c r="E183" s="12"/>
      <c r="F183" s="12"/>
      <c r="G183" s="12"/>
    </row>
    <row r="184" spans="1:8" ht="15" thickBot="1" x14ac:dyDescent="0.4">
      <c r="A184" s="81" t="s">
        <v>9</v>
      </c>
      <c r="B184" s="21" t="s">
        <v>294</v>
      </c>
      <c r="C184" s="22" t="s">
        <v>295</v>
      </c>
      <c r="D184" s="23" t="s">
        <v>296</v>
      </c>
      <c r="E184" s="23" t="s">
        <v>297</v>
      </c>
      <c r="F184" s="23" t="s">
        <v>298</v>
      </c>
      <c r="G184" s="23" t="s">
        <v>299</v>
      </c>
      <c r="H184" s="21" t="s">
        <v>300</v>
      </c>
    </row>
    <row r="185" spans="1:8" x14ac:dyDescent="0.35">
      <c r="A185" s="96">
        <v>2010</v>
      </c>
      <c r="B185" s="70">
        <f t="shared" ref="B185:H185" si="11">SUM(B2:B13)</f>
        <v>6825238</v>
      </c>
      <c r="C185" s="70">
        <f t="shared" si="11"/>
        <v>39911</v>
      </c>
      <c r="D185" s="70">
        <f t="shared" si="11"/>
        <v>324321</v>
      </c>
      <c r="E185" s="70">
        <f t="shared" si="11"/>
        <v>5901588</v>
      </c>
      <c r="F185" s="70">
        <f t="shared" si="11"/>
        <v>46822</v>
      </c>
      <c r="G185" s="70">
        <f t="shared" si="11"/>
        <v>30266008</v>
      </c>
      <c r="H185" s="70">
        <f t="shared" si="11"/>
        <v>43403888</v>
      </c>
    </row>
    <row r="186" spans="1:8" x14ac:dyDescent="0.35">
      <c r="A186" s="18">
        <v>2011</v>
      </c>
      <c r="B186" s="11">
        <f t="shared" ref="B186:B196" ca="1" si="12">SUM(OFFSET($B$2,(12*(ROW(B2)-1)),0,12,1))</f>
        <v>7151206</v>
      </c>
      <c r="C186" s="11">
        <f t="shared" ref="C186:C196" ca="1" si="13">SUM(OFFSET($C$2,(12*(ROW(C2)-1)),0,12,1))</f>
        <v>40254</v>
      </c>
      <c r="D186" s="11">
        <f t="shared" ref="D186:D196" ca="1" si="14">SUM(OFFSET($D$2,(12*(ROW(D2)-1)),0,12,1))</f>
        <v>316169</v>
      </c>
      <c r="E186" s="11">
        <f t="shared" ref="E186:E196" ca="1" si="15">SUM(OFFSET($E$2,(12*(ROW(E2)-1)),0,12,1))</f>
        <v>6710005</v>
      </c>
      <c r="F186" s="11">
        <f t="shared" ref="F186:F196" ca="1" si="16">SUM(OFFSET($F$2,(12*(ROW(F2)-1)),0,12,1))</f>
        <v>42067</v>
      </c>
      <c r="G186" s="11">
        <f t="shared" ref="G186:G196" ca="1" si="17">SUM(OFFSET($G$2,(12*(ROW(G2)-1)),0,12,1))</f>
        <v>38193436</v>
      </c>
      <c r="H186" s="11">
        <f t="shared" ref="H186:H196" ca="1" si="18">SUM(OFFSET($H$2,(12*(ROW(H2)-1)),0,12,1))</f>
        <v>52453137</v>
      </c>
    </row>
    <row r="187" spans="1:8" x14ac:dyDescent="0.35">
      <c r="A187" s="18">
        <v>2012</v>
      </c>
      <c r="B187" s="11">
        <f t="shared" ca="1" si="12"/>
        <v>7758831</v>
      </c>
      <c r="C187" s="11">
        <f t="shared" ca="1" si="13"/>
        <v>416745</v>
      </c>
      <c r="D187" s="11">
        <f t="shared" ca="1" si="14"/>
        <v>51668</v>
      </c>
      <c r="E187" s="11">
        <f t="shared" ca="1" si="15"/>
        <v>7651133</v>
      </c>
      <c r="F187" s="11">
        <f t="shared" ca="1" si="16"/>
        <v>35060</v>
      </c>
      <c r="G187" s="11">
        <f t="shared" ca="1" si="17"/>
        <v>34633855</v>
      </c>
      <c r="H187" s="11">
        <f t="shared" ca="1" si="18"/>
        <v>50547292</v>
      </c>
    </row>
    <row r="188" spans="1:8" x14ac:dyDescent="0.35">
      <c r="A188" s="18">
        <v>2013</v>
      </c>
      <c r="B188" s="11">
        <f t="shared" ca="1" si="12"/>
        <v>6285312</v>
      </c>
      <c r="C188" s="11">
        <f t="shared" ca="1" si="13"/>
        <v>3433</v>
      </c>
      <c r="D188" s="11">
        <f t="shared" ca="1" si="14"/>
        <v>60177</v>
      </c>
      <c r="E188" s="11">
        <f t="shared" ca="1" si="15"/>
        <v>9043215</v>
      </c>
      <c r="F188" s="11">
        <f t="shared" ca="1" si="16"/>
        <v>13418</v>
      </c>
      <c r="G188" s="11">
        <f t="shared" ca="1" si="17"/>
        <v>42098585</v>
      </c>
      <c r="H188" s="11">
        <f t="shared" ca="1" si="18"/>
        <v>57504140</v>
      </c>
    </row>
    <row r="189" spans="1:8" x14ac:dyDescent="0.35">
      <c r="A189" s="18">
        <v>2014</v>
      </c>
      <c r="B189" s="11">
        <f t="shared" ca="1" si="12"/>
        <v>6164930</v>
      </c>
      <c r="C189" s="11">
        <f t="shared" ca="1" si="13"/>
        <v>21972.720000000001</v>
      </c>
      <c r="D189" s="11">
        <f t="shared" ca="1" si="14"/>
        <v>183733</v>
      </c>
      <c r="E189" s="11">
        <f t="shared" ca="1" si="15"/>
        <v>9240326</v>
      </c>
      <c r="F189" s="11">
        <f t="shared" ca="1" si="16"/>
        <v>0</v>
      </c>
      <c r="G189" s="11">
        <f t="shared" ca="1" si="17"/>
        <v>45899435</v>
      </c>
      <c r="H189" s="11">
        <f t="shared" ca="1" si="18"/>
        <v>61510396.719999999</v>
      </c>
    </row>
    <row r="190" spans="1:8" x14ac:dyDescent="0.35">
      <c r="A190" s="36">
        <v>2015</v>
      </c>
      <c r="B190" s="37">
        <f t="shared" ca="1" si="12"/>
        <v>5776075.1399999997</v>
      </c>
      <c r="C190" s="37">
        <f t="shared" ca="1" si="13"/>
        <v>18081.010000000002</v>
      </c>
      <c r="D190" s="37">
        <f t="shared" ca="1" si="14"/>
        <v>248768.65</v>
      </c>
      <c r="E190" s="37">
        <f t="shared" ca="1" si="15"/>
        <v>7959793.870000001</v>
      </c>
      <c r="F190" s="37">
        <f t="shared" ca="1" si="16"/>
        <v>0</v>
      </c>
      <c r="G190" s="37">
        <f t="shared" ca="1" si="17"/>
        <v>44807811.689999998</v>
      </c>
      <c r="H190" s="37">
        <f t="shared" ca="1" si="18"/>
        <v>58810530.359999999</v>
      </c>
    </row>
    <row r="191" spans="1:8" x14ac:dyDescent="0.35">
      <c r="A191" s="18">
        <v>2016</v>
      </c>
      <c r="B191" s="11">
        <f t="shared" ca="1" si="12"/>
        <v>6179930.71</v>
      </c>
      <c r="C191" s="11">
        <f t="shared" ca="1" si="13"/>
        <v>31202.53</v>
      </c>
      <c r="D191" s="11">
        <f t="shared" ca="1" si="14"/>
        <v>209026.7</v>
      </c>
      <c r="E191" s="11">
        <f t="shared" ca="1" si="15"/>
        <v>7734071.7600000007</v>
      </c>
      <c r="F191" s="11">
        <f t="shared" ca="1" si="16"/>
        <v>0</v>
      </c>
      <c r="G191" s="11">
        <f t="shared" ca="1" si="17"/>
        <v>51759107.289999999</v>
      </c>
      <c r="H191" s="11">
        <f t="shared" ca="1" si="18"/>
        <v>65913338.990000002</v>
      </c>
    </row>
    <row r="192" spans="1:8" x14ac:dyDescent="0.35">
      <c r="A192" s="18">
        <v>2017</v>
      </c>
      <c r="B192" s="85">
        <f t="shared" ca="1" si="12"/>
        <v>5991495.4900000002</v>
      </c>
      <c r="C192" s="85">
        <f t="shared" ca="1" si="13"/>
        <v>34605</v>
      </c>
      <c r="D192" s="85">
        <f t="shared" ca="1" si="14"/>
        <v>430531.05</v>
      </c>
      <c r="E192" s="85">
        <f t="shared" ca="1" si="15"/>
        <v>6670354.6300000008</v>
      </c>
      <c r="F192" s="85">
        <f t="shared" ca="1" si="16"/>
        <v>0</v>
      </c>
      <c r="G192" s="85">
        <f t="shared" ca="1" si="17"/>
        <v>50001801.130000003</v>
      </c>
      <c r="H192" s="85">
        <f t="shared" ca="1" si="18"/>
        <v>63128787.300000004</v>
      </c>
    </row>
    <row r="193" spans="1:8" x14ac:dyDescent="0.35">
      <c r="A193" s="18">
        <v>2018</v>
      </c>
      <c r="B193" s="11">
        <f t="shared" ca="1" si="12"/>
        <v>6092288.6900000004</v>
      </c>
      <c r="C193" s="11">
        <f t="shared" ca="1" si="13"/>
        <v>37029.119999999995</v>
      </c>
      <c r="D193" s="11">
        <f t="shared" ca="1" si="14"/>
        <v>349097.37</v>
      </c>
      <c r="E193" s="11">
        <f t="shared" ca="1" si="15"/>
        <v>6015378</v>
      </c>
      <c r="F193" s="11">
        <f t="shared" ca="1" si="16"/>
        <v>0</v>
      </c>
      <c r="G193" s="11">
        <f t="shared" ca="1" si="17"/>
        <v>73459208.329999998</v>
      </c>
      <c r="H193" s="11">
        <f t="shared" ca="1" si="18"/>
        <v>85953001.510000005</v>
      </c>
    </row>
    <row r="194" spans="1:8" x14ac:dyDescent="0.35">
      <c r="A194" s="18">
        <v>2019</v>
      </c>
      <c r="B194" s="11">
        <f t="shared" ca="1" si="12"/>
        <v>7285913.1100000003</v>
      </c>
      <c r="C194" s="11">
        <f t="shared" ca="1" si="13"/>
        <v>25506.769999999997</v>
      </c>
      <c r="D194" s="11">
        <f t="shared" ca="1" si="14"/>
        <v>330797.63</v>
      </c>
      <c r="E194" s="11">
        <f t="shared" ca="1" si="15"/>
        <v>3200252.8400000003</v>
      </c>
      <c r="F194" s="11">
        <f t="shared" ca="1" si="16"/>
        <v>0</v>
      </c>
      <c r="G194" s="11">
        <f t="shared" ca="1" si="17"/>
        <v>74084100.530000016</v>
      </c>
      <c r="H194" s="11">
        <f t="shared" ca="1" si="18"/>
        <v>84926570.879999995</v>
      </c>
    </row>
    <row r="195" spans="1:8" x14ac:dyDescent="0.35">
      <c r="A195" s="18">
        <v>2020</v>
      </c>
      <c r="B195" s="11">
        <f t="shared" ca="1" si="12"/>
        <v>4699177.8600000003</v>
      </c>
      <c r="C195" s="11">
        <f t="shared" ca="1" si="13"/>
        <v>50099.78</v>
      </c>
      <c r="D195" s="11">
        <f t="shared" ca="1" si="14"/>
        <v>207503.97999999998</v>
      </c>
      <c r="E195" s="11">
        <f t="shared" ca="1" si="15"/>
        <v>3328143.6299999994</v>
      </c>
      <c r="F195" s="11">
        <f t="shared" ca="1" si="16"/>
        <v>16813.48</v>
      </c>
      <c r="G195" s="11">
        <f t="shared" ca="1" si="17"/>
        <v>64660555.93</v>
      </c>
      <c r="H195" s="11">
        <f t="shared" ca="1" si="18"/>
        <v>72962294.659999996</v>
      </c>
    </row>
    <row r="196" spans="1:8" x14ac:dyDescent="0.35">
      <c r="A196" s="18">
        <v>2021</v>
      </c>
      <c r="B196" s="11">
        <f t="shared" ca="1" si="12"/>
        <v>5663170.5199999996</v>
      </c>
      <c r="C196" s="11">
        <f t="shared" ca="1" si="13"/>
        <v>116876.18</v>
      </c>
      <c r="D196" s="11">
        <f t="shared" ca="1" si="14"/>
        <v>236064.06</v>
      </c>
      <c r="E196" s="11">
        <f t="shared" ca="1" si="15"/>
        <v>3581747.42</v>
      </c>
      <c r="F196" s="11">
        <f t="shared" ca="1" si="16"/>
        <v>32921.78</v>
      </c>
      <c r="G196" s="11">
        <f t="shared" ca="1" si="17"/>
        <v>91203895.25</v>
      </c>
      <c r="H196" s="11">
        <f t="shared" ca="1" si="18"/>
        <v>100834675.20999999</v>
      </c>
    </row>
    <row r="197" spans="1:8" x14ac:dyDescent="0.35">
      <c r="A197" s="18">
        <v>2022</v>
      </c>
      <c r="B197" s="11">
        <f t="shared" ref="B197:H197" si="19">SUM(B146:B157)</f>
        <v>5916632.4400000004</v>
      </c>
      <c r="C197" s="11">
        <f t="shared" si="19"/>
        <v>125208.15000000001</v>
      </c>
      <c r="D197" s="11">
        <f t="shared" si="19"/>
        <v>574279.35</v>
      </c>
      <c r="E197" s="11">
        <f t="shared" si="19"/>
        <v>5114913.47</v>
      </c>
      <c r="F197" s="11">
        <f t="shared" si="19"/>
        <v>90033.739999999991</v>
      </c>
      <c r="G197" s="11">
        <f t="shared" si="19"/>
        <v>91417897.650000006</v>
      </c>
      <c r="H197" s="11">
        <f t="shared" si="19"/>
        <v>103238964.80000001</v>
      </c>
    </row>
    <row r="198" spans="1:8" x14ac:dyDescent="0.35">
      <c r="A198" s="18">
        <v>2023</v>
      </c>
      <c r="B198" s="11">
        <f t="shared" ref="B198:H198" si="20">SUM(B158:B169)</f>
        <v>5969622.1499999994</v>
      </c>
      <c r="C198" s="11">
        <f t="shared" si="20"/>
        <v>55003.1</v>
      </c>
      <c r="D198" s="11">
        <f t="shared" si="20"/>
        <v>445855.1</v>
      </c>
      <c r="E198" s="11">
        <f t="shared" si="20"/>
        <v>3707232.7100000004</v>
      </c>
      <c r="F198" s="11">
        <f t="shared" si="20"/>
        <v>108636.22</v>
      </c>
      <c r="G198" s="11">
        <f t="shared" si="20"/>
        <v>89587702.340000004</v>
      </c>
      <c r="H198" s="11">
        <f t="shared" si="20"/>
        <v>99874051.620000005</v>
      </c>
    </row>
    <row r="199" spans="1:8" ht="15" thickBot="1" x14ac:dyDescent="0.4">
      <c r="A199" s="189" t="s">
        <v>12</v>
      </c>
      <c r="B199" s="46">
        <f>SUM(B170:B181)</f>
        <v>5620223.9199999999</v>
      </c>
      <c r="C199" s="46">
        <f>SUM(C170:C181)</f>
        <v>697105.91999999993</v>
      </c>
      <c r="D199" s="46">
        <f t="shared" ref="D199:H199" si="21">SUM(D170:D181)</f>
        <v>931944.41999999993</v>
      </c>
      <c r="E199" s="46">
        <f t="shared" si="21"/>
        <v>3238811.43</v>
      </c>
      <c r="F199" s="46">
        <f t="shared" si="21"/>
        <v>12215.27</v>
      </c>
      <c r="G199" s="46">
        <f t="shared" si="21"/>
        <v>82737296.280000001</v>
      </c>
      <c r="H199" s="46">
        <f t="shared" si="21"/>
        <v>93237597.239999995</v>
      </c>
    </row>
    <row r="200" spans="1:8" ht="15" thickBot="1" x14ac:dyDescent="0.4">
      <c r="A200" s="16"/>
      <c r="B200" s="12"/>
      <c r="C200" s="12"/>
      <c r="D200" s="12"/>
      <c r="E200" s="12"/>
      <c r="F200" s="12"/>
      <c r="G200" s="12"/>
    </row>
    <row r="201" spans="1:8" ht="15" thickBot="1" x14ac:dyDescent="0.4">
      <c r="A201" s="87"/>
      <c r="B201" s="21" t="s">
        <v>294</v>
      </c>
      <c r="C201" s="21" t="s">
        <v>295</v>
      </c>
      <c r="D201" s="21" t="s">
        <v>296</v>
      </c>
      <c r="E201" s="21" t="s">
        <v>297</v>
      </c>
      <c r="F201" s="21" t="s">
        <v>298</v>
      </c>
      <c r="G201" s="21" t="s">
        <v>299</v>
      </c>
      <c r="H201" s="21" t="s">
        <v>300</v>
      </c>
    </row>
    <row r="202" spans="1:8" x14ac:dyDescent="0.35">
      <c r="A202" s="188" t="s">
        <v>11</v>
      </c>
      <c r="B202" s="91">
        <f>SUM(B158:B169)</f>
        <v>5969622.1499999994</v>
      </c>
      <c r="C202" s="91">
        <f>SUM(C158:C169)</f>
        <v>55003.1</v>
      </c>
      <c r="D202" s="91">
        <f t="shared" ref="D202:H202" si="22">SUM(D158:D169)</f>
        <v>445855.1</v>
      </c>
      <c r="E202" s="91">
        <f t="shared" si="22"/>
        <v>3707232.7100000004</v>
      </c>
      <c r="F202" s="91">
        <f t="shared" si="22"/>
        <v>108636.22</v>
      </c>
      <c r="G202" s="91">
        <f t="shared" si="22"/>
        <v>89587702.340000004</v>
      </c>
      <c r="H202" s="91">
        <f t="shared" si="22"/>
        <v>99874051.620000005</v>
      </c>
    </row>
    <row r="203" spans="1:8" x14ac:dyDescent="0.35">
      <c r="A203" s="188" t="s">
        <v>12</v>
      </c>
      <c r="B203" s="91">
        <f>SUM(B170:B181)</f>
        <v>5620223.9199999999</v>
      </c>
      <c r="C203" s="91">
        <f>SUM(C170:C181)</f>
        <v>697105.91999999993</v>
      </c>
      <c r="D203" s="91">
        <f t="shared" ref="D203:H203" si="23">SUM(D170:D181)</f>
        <v>931944.41999999993</v>
      </c>
      <c r="E203" s="91">
        <f t="shared" si="23"/>
        <v>3238811.43</v>
      </c>
      <c r="F203" s="91">
        <f t="shared" si="23"/>
        <v>12215.27</v>
      </c>
      <c r="G203" s="91">
        <f t="shared" si="23"/>
        <v>82737296.280000001</v>
      </c>
      <c r="H203" s="91">
        <f t="shared" si="23"/>
        <v>93237597.239999995</v>
      </c>
    </row>
    <row r="204" spans="1:8" ht="29.5" thickBot="1" x14ac:dyDescent="0.4">
      <c r="A204" s="83" t="s">
        <v>28</v>
      </c>
      <c r="B204" s="92">
        <f>(B203-B202)/B202</f>
        <v>-5.852937107585604E-2</v>
      </c>
      <c r="C204" s="92">
        <f t="shared" ref="C204:H204" si="24">(C203-C202)/C202</f>
        <v>11.673938741634561</v>
      </c>
      <c r="D204" s="92">
        <f t="shared" si="24"/>
        <v>1.0902405736751692</v>
      </c>
      <c r="E204" s="92">
        <f t="shared" si="24"/>
        <v>-0.1263533521206982</v>
      </c>
      <c r="F204" s="92">
        <f t="shared" si="24"/>
        <v>-0.88755803543238154</v>
      </c>
      <c r="G204" s="92">
        <f t="shared" si="24"/>
        <v>-7.6465919775479785E-2</v>
      </c>
      <c r="H204" s="92">
        <f t="shared" si="24"/>
        <v>-6.6448234274607568E-2</v>
      </c>
    </row>
    <row r="205" spans="1:8" ht="15" thickBot="1" x14ac:dyDescent="0.4">
      <c r="A205" s="16"/>
      <c r="B205" s="12"/>
      <c r="C205" s="12"/>
      <c r="D205" s="12"/>
      <c r="E205" s="12"/>
      <c r="F205" s="12"/>
      <c r="G205" s="12"/>
    </row>
    <row r="206" spans="1:8" ht="15" thickBot="1" x14ac:dyDescent="0.4">
      <c r="A206" s="87"/>
      <c r="B206" s="21" t="s">
        <v>294</v>
      </c>
      <c r="C206" s="21" t="s">
        <v>295</v>
      </c>
      <c r="D206" s="21" t="s">
        <v>296</v>
      </c>
      <c r="E206" s="21" t="s">
        <v>297</v>
      </c>
      <c r="F206" s="21" t="s">
        <v>298</v>
      </c>
      <c r="G206" s="21" t="s">
        <v>299</v>
      </c>
      <c r="H206" s="21" t="s">
        <v>300</v>
      </c>
    </row>
    <row r="207" spans="1:8" ht="29" x14ac:dyDescent="0.35">
      <c r="A207" s="84" t="s">
        <v>17</v>
      </c>
      <c r="B207" s="91">
        <f>B169</f>
        <v>435023.64</v>
      </c>
      <c r="C207" s="91">
        <f>C169</f>
        <v>12344.24</v>
      </c>
      <c r="D207" s="91">
        <f t="shared" ref="D207:H207" si="25">D169</f>
        <v>35587.11</v>
      </c>
      <c r="E207" s="91">
        <f t="shared" si="25"/>
        <v>287169.67</v>
      </c>
      <c r="F207" s="91">
        <f t="shared" si="25"/>
        <v>10754.61</v>
      </c>
      <c r="G207" s="91">
        <f t="shared" si="25"/>
        <v>9153138.9299999997</v>
      </c>
      <c r="H207" s="91">
        <f t="shared" si="25"/>
        <v>9934018.1999999993</v>
      </c>
    </row>
    <row r="208" spans="1:8" ht="29" x14ac:dyDescent="0.35">
      <c r="A208" s="84" t="s">
        <v>18</v>
      </c>
      <c r="B208" s="91">
        <f>B181</f>
        <v>478154.72</v>
      </c>
      <c r="C208" s="91">
        <f>C181</f>
        <v>68802.31</v>
      </c>
      <c r="D208" s="91">
        <f t="shared" ref="D208:H208" si="26">D181</f>
        <v>71620.460000000006</v>
      </c>
      <c r="E208" s="91">
        <f t="shared" si="26"/>
        <v>382210.5</v>
      </c>
      <c r="F208" s="91">
        <f t="shared" si="26"/>
        <v>3059.64</v>
      </c>
      <c r="G208" s="91">
        <f t="shared" si="26"/>
        <v>8357414</v>
      </c>
      <c r="H208" s="91">
        <f t="shared" si="26"/>
        <v>9361261.6300000008</v>
      </c>
    </row>
    <row r="209" spans="1:8" ht="29.5" thickBot="1" x14ac:dyDescent="0.4">
      <c r="A209" s="83" t="s">
        <v>28</v>
      </c>
      <c r="B209" s="92">
        <f>(B208-B207)/B207</f>
        <v>9.9146519945444711E-2</v>
      </c>
      <c r="C209" s="92">
        <f>(C208-C207)/C207</f>
        <v>4.5736367731022725</v>
      </c>
      <c r="D209" s="92">
        <f>(D208-D207)/D207</f>
        <v>1.0125393716994722</v>
      </c>
      <c r="E209" s="92">
        <f>(E208-E207)/E207</f>
        <v>0.33095706102946049</v>
      </c>
      <c r="F209" s="92">
        <f t="shared" ref="F209:H209" si="27">(F208-F207)/F207</f>
        <v>-0.71550432791147245</v>
      </c>
      <c r="G209" s="92">
        <f t="shared" si="27"/>
        <v>-8.6934650078560508E-2</v>
      </c>
      <c r="H209" s="92">
        <f t="shared" si="27"/>
        <v>-5.7656082208506369E-2</v>
      </c>
    </row>
  </sheetData>
  <pageMargins left="0.7" right="0.7" top="0.75" bottom="0.75" header="0.3" footer="0.3"/>
  <pageSetup orientation="portrait" verticalDpi="0" r:id="rId1"/>
  <ignoredErrors>
    <ignoredError sqref="H2:H101 B185:G185 H103:H104 H106:H109 H110 H113:H121 H122:H145 H146:H157 B197:H197" formulaRange="1"/>
    <ignoredError sqref="F204 F209 C209 C204"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09"/>
  <sheetViews>
    <sheetView workbookViewId="0">
      <pane ySplit="1" topLeftCell="A169" activePane="bottomLeft" state="frozen"/>
      <selection pane="bottomLeft" activeCell="K201" sqref="K201"/>
    </sheetView>
  </sheetViews>
  <sheetFormatPr defaultColWidth="15" defaultRowHeight="14.5" x14ac:dyDescent="0.35"/>
  <cols>
    <col min="1" max="1" width="14.453125" bestFit="1" customWidth="1"/>
    <col min="2" max="2" width="11.54296875" bestFit="1" customWidth="1"/>
    <col min="3" max="3" width="10.453125" bestFit="1" customWidth="1"/>
    <col min="4" max="4" width="11.54296875" bestFit="1" customWidth="1"/>
    <col min="5" max="5" width="12.453125" bestFit="1" customWidth="1"/>
    <col min="6" max="6" width="16.453125" bestFit="1" customWidth="1"/>
    <col min="7" max="7" width="12.453125" bestFit="1" customWidth="1"/>
    <col min="8" max="8" width="15.1796875" bestFit="1" customWidth="1"/>
  </cols>
  <sheetData>
    <row r="1" spans="1:8" ht="22.5" customHeight="1" x14ac:dyDescent="0.35">
      <c r="A1" s="32" t="s">
        <v>0</v>
      </c>
      <c r="B1" s="33" t="s">
        <v>301</v>
      </c>
      <c r="C1" s="34">
        <v>85</v>
      </c>
      <c r="D1" s="35" t="s">
        <v>302</v>
      </c>
      <c r="E1" s="35" t="s">
        <v>303</v>
      </c>
      <c r="F1" s="35" t="s">
        <v>304</v>
      </c>
      <c r="G1" s="35" t="s">
        <v>305</v>
      </c>
      <c r="H1" s="35" t="s">
        <v>306</v>
      </c>
    </row>
    <row r="2" spans="1:8" x14ac:dyDescent="0.35">
      <c r="A2" s="7">
        <v>40179</v>
      </c>
      <c r="B2" s="11">
        <v>43670</v>
      </c>
      <c r="C2" s="9">
        <v>149805</v>
      </c>
      <c r="D2" s="10">
        <v>184788</v>
      </c>
      <c r="E2" s="10">
        <v>322772</v>
      </c>
      <c r="F2" s="10">
        <v>2216708</v>
      </c>
      <c r="G2" s="10">
        <v>17344</v>
      </c>
      <c r="H2" s="10">
        <f t="shared" ref="H2:H33" si="0">SUM(B2:G2)</f>
        <v>2935087</v>
      </c>
    </row>
    <row r="3" spans="1:8" x14ac:dyDescent="0.35">
      <c r="A3" s="7">
        <v>40210</v>
      </c>
      <c r="B3" s="11">
        <v>30135</v>
      </c>
      <c r="C3" s="9">
        <v>141511</v>
      </c>
      <c r="D3" s="10">
        <v>0</v>
      </c>
      <c r="E3" s="10">
        <v>132761</v>
      </c>
      <c r="F3" s="10">
        <v>2023029</v>
      </c>
      <c r="G3" s="10">
        <v>21269</v>
      </c>
      <c r="H3" s="10">
        <f t="shared" si="0"/>
        <v>2348705</v>
      </c>
    </row>
    <row r="4" spans="1:8" x14ac:dyDescent="0.35">
      <c r="A4" s="7">
        <v>40238</v>
      </c>
      <c r="B4" s="11">
        <v>69734</v>
      </c>
      <c r="C4" s="9">
        <v>291750</v>
      </c>
      <c r="D4" s="10">
        <v>109482</v>
      </c>
      <c r="E4" s="10">
        <v>215529</v>
      </c>
      <c r="F4" s="10">
        <v>2634355</v>
      </c>
      <c r="G4" s="10">
        <v>17438</v>
      </c>
      <c r="H4" s="10">
        <f t="shared" si="0"/>
        <v>3338288</v>
      </c>
    </row>
    <row r="5" spans="1:8" x14ac:dyDescent="0.35">
      <c r="A5" s="7">
        <v>40269</v>
      </c>
      <c r="B5" s="11">
        <v>44541</v>
      </c>
      <c r="C5" s="9">
        <v>328936</v>
      </c>
      <c r="D5" s="10">
        <v>0</v>
      </c>
      <c r="E5" s="10">
        <v>210709</v>
      </c>
      <c r="F5" s="10">
        <v>2242184</v>
      </c>
      <c r="G5" s="10">
        <v>30809</v>
      </c>
      <c r="H5" s="10">
        <f t="shared" si="0"/>
        <v>2857179</v>
      </c>
    </row>
    <row r="6" spans="1:8" x14ac:dyDescent="0.35">
      <c r="A6" s="7">
        <v>40299</v>
      </c>
      <c r="B6" s="11">
        <v>44719</v>
      </c>
      <c r="C6" s="9">
        <v>337099</v>
      </c>
      <c r="D6" s="10">
        <v>0</v>
      </c>
      <c r="E6" s="10">
        <v>147935</v>
      </c>
      <c r="F6" s="10">
        <v>2616377</v>
      </c>
      <c r="G6" s="10">
        <v>26966</v>
      </c>
      <c r="H6" s="10">
        <f t="shared" si="0"/>
        <v>3173096</v>
      </c>
    </row>
    <row r="7" spans="1:8" x14ac:dyDescent="0.35">
      <c r="A7" s="7">
        <v>40330</v>
      </c>
      <c r="B7" s="11">
        <v>41909</v>
      </c>
      <c r="C7" s="9">
        <v>204378</v>
      </c>
      <c r="D7" s="10">
        <v>0</v>
      </c>
      <c r="E7" s="10">
        <v>232472</v>
      </c>
      <c r="F7" s="10">
        <v>2664979</v>
      </c>
      <c r="G7" s="10">
        <v>28745</v>
      </c>
      <c r="H7" s="10">
        <f t="shared" si="0"/>
        <v>3172483</v>
      </c>
    </row>
    <row r="8" spans="1:8" x14ac:dyDescent="0.35">
      <c r="A8" s="7">
        <v>40360</v>
      </c>
      <c r="B8" s="11">
        <v>29674</v>
      </c>
      <c r="C8" s="9">
        <v>224030</v>
      </c>
      <c r="D8" s="10">
        <v>0</v>
      </c>
      <c r="E8" s="10">
        <v>281491</v>
      </c>
      <c r="F8" s="10">
        <v>2386851</v>
      </c>
      <c r="G8" s="10">
        <v>30614</v>
      </c>
      <c r="H8" s="10">
        <f t="shared" si="0"/>
        <v>2952660</v>
      </c>
    </row>
    <row r="9" spans="1:8" x14ac:dyDescent="0.35">
      <c r="A9" s="7">
        <v>40391</v>
      </c>
      <c r="B9" s="11">
        <v>39028</v>
      </c>
      <c r="C9" s="9">
        <v>168969</v>
      </c>
      <c r="D9" s="10">
        <v>0</v>
      </c>
      <c r="E9" s="10">
        <v>217763</v>
      </c>
      <c r="F9" s="10">
        <v>2262061</v>
      </c>
      <c r="G9" s="10">
        <v>32994</v>
      </c>
      <c r="H9" s="10">
        <f t="shared" si="0"/>
        <v>2720815</v>
      </c>
    </row>
    <row r="10" spans="1:8" x14ac:dyDescent="0.35">
      <c r="A10" s="7">
        <v>40422</v>
      </c>
      <c r="B10" s="11">
        <v>75252</v>
      </c>
      <c r="C10" s="9">
        <v>168210</v>
      </c>
      <c r="D10" s="10">
        <v>62856</v>
      </c>
      <c r="E10" s="10">
        <v>178498</v>
      </c>
      <c r="F10" s="10">
        <v>2977689</v>
      </c>
      <c r="G10" s="10">
        <v>19024</v>
      </c>
      <c r="H10" s="10">
        <f t="shared" si="0"/>
        <v>3481529</v>
      </c>
    </row>
    <row r="11" spans="1:8" x14ac:dyDescent="0.35">
      <c r="A11" s="7">
        <v>40452</v>
      </c>
      <c r="B11" s="11">
        <v>37378</v>
      </c>
      <c r="C11" s="9">
        <v>330406</v>
      </c>
      <c r="D11" s="10">
        <v>225388</v>
      </c>
      <c r="E11" s="10">
        <v>216287</v>
      </c>
      <c r="F11" s="10">
        <v>1822692</v>
      </c>
      <c r="G11" s="10">
        <v>19725</v>
      </c>
      <c r="H11" s="10">
        <f t="shared" si="0"/>
        <v>2651876</v>
      </c>
    </row>
    <row r="12" spans="1:8" x14ac:dyDescent="0.35">
      <c r="A12" s="7">
        <v>40483</v>
      </c>
      <c r="B12" s="11">
        <v>35093</v>
      </c>
      <c r="C12" s="9">
        <v>138110</v>
      </c>
      <c r="D12" s="10">
        <v>52636</v>
      </c>
      <c r="E12" s="10">
        <v>535251</v>
      </c>
      <c r="F12" s="10">
        <v>6873235</v>
      </c>
      <c r="G12" s="10">
        <v>28988</v>
      </c>
      <c r="H12" s="10">
        <f t="shared" si="0"/>
        <v>7663313</v>
      </c>
    </row>
    <row r="13" spans="1:8" x14ac:dyDescent="0.35">
      <c r="A13" s="7">
        <v>40513</v>
      </c>
      <c r="B13" s="11">
        <v>170046</v>
      </c>
      <c r="C13" s="9">
        <v>489218</v>
      </c>
      <c r="D13" s="10">
        <v>152944</v>
      </c>
      <c r="E13" s="10">
        <v>197672</v>
      </c>
      <c r="F13" s="10">
        <v>3231371</v>
      </c>
      <c r="G13" s="10">
        <v>28305</v>
      </c>
      <c r="H13" s="10">
        <f t="shared" si="0"/>
        <v>4269556</v>
      </c>
    </row>
    <row r="14" spans="1:8" x14ac:dyDescent="0.35">
      <c r="A14" s="7">
        <v>40544</v>
      </c>
      <c r="B14" s="11">
        <v>33177</v>
      </c>
      <c r="C14" s="9">
        <v>191594</v>
      </c>
      <c r="D14" s="10">
        <v>13112</v>
      </c>
      <c r="E14" s="10">
        <v>209988</v>
      </c>
      <c r="F14" s="10">
        <v>2000641</v>
      </c>
      <c r="G14" s="10">
        <v>20802</v>
      </c>
      <c r="H14" s="10">
        <f t="shared" si="0"/>
        <v>2469314</v>
      </c>
    </row>
    <row r="15" spans="1:8" x14ac:dyDescent="0.35">
      <c r="A15" s="7">
        <v>40575</v>
      </c>
      <c r="B15" s="11">
        <v>37317</v>
      </c>
      <c r="C15" s="9">
        <v>283367</v>
      </c>
      <c r="D15" s="10">
        <v>27873</v>
      </c>
      <c r="E15" s="10">
        <v>150538</v>
      </c>
      <c r="F15" s="10">
        <v>1910855</v>
      </c>
      <c r="G15" s="10">
        <v>20791</v>
      </c>
      <c r="H15" s="10">
        <f t="shared" si="0"/>
        <v>2430741</v>
      </c>
    </row>
    <row r="16" spans="1:8" x14ac:dyDescent="0.35">
      <c r="A16" s="7">
        <v>40603</v>
      </c>
      <c r="B16" s="11">
        <v>270997</v>
      </c>
      <c r="C16" s="9">
        <v>502314</v>
      </c>
      <c r="D16" s="10">
        <v>21153</v>
      </c>
      <c r="E16" s="10">
        <v>222291</v>
      </c>
      <c r="F16" s="10">
        <v>2463388</v>
      </c>
      <c r="G16" s="10">
        <v>20209</v>
      </c>
      <c r="H16" s="10">
        <f t="shared" si="0"/>
        <v>3500352</v>
      </c>
    </row>
    <row r="17" spans="1:8" x14ac:dyDescent="0.35">
      <c r="A17" s="7">
        <v>40634</v>
      </c>
      <c r="B17" s="11">
        <v>56195</v>
      </c>
      <c r="C17" s="9">
        <v>145132</v>
      </c>
      <c r="D17" s="10">
        <v>0</v>
      </c>
      <c r="E17" s="10">
        <v>319086</v>
      </c>
      <c r="F17" s="10">
        <v>1974923</v>
      </c>
      <c r="G17" s="10">
        <v>41507</v>
      </c>
      <c r="H17" s="10">
        <f t="shared" si="0"/>
        <v>2536843</v>
      </c>
    </row>
    <row r="18" spans="1:8" x14ac:dyDescent="0.35">
      <c r="A18" s="7">
        <v>40664</v>
      </c>
      <c r="B18" s="11">
        <v>41080</v>
      </c>
      <c r="C18" s="9">
        <v>169683</v>
      </c>
      <c r="D18" s="10">
        <v>0</v>
      </c>
      <c r="E18" s="10">
        <v>106474</v>
      </c>
      <c r="F18" s="10">
        <v>2101957</v>
      </c>
      <c r="G18" s="10">
        <v>41211</v>
      </c>
      <c r="H18" s="10">
        <f t="shared" si="0"/>
        <v>2460405</v>
      </c>
    </row>
    <row r="19" spans="1:8" x14ac:dyDescent="0.35">
      <c r="A19" s="7">
        <v>40695</v>
      </c>
      <c r="B19" s="11">
        <v>237154</v>
      </c>
      <c r="C19" s="9">
        <v>274808</v>
      </c>
      <c r="D19" s="10">
        <v>0</v>
      </c>
      <c r="E19" s="10">
        <v>271820</v>
      </c>
      <c r="F19" s="10">
        <v>2577019</v>
      </c>
      <c r="G19" s="10">
        <v>45215</v>
      </c>
      <c r="H19" s="10">
        <f t="shared" si="0"/>
        <v>3406016</v>
      </c>
    </row>
    <row r="20" spans="1:8" x14ac:dyDescent="0.35">
      <c r="A20" s="7">
        <v>40725</v>
      </c>
      <c r="B20" s="11">
        <v>29674</v>
      </c>
      <c r="C20" s="9">
        <v>224030</v>
      </c>
      <c r="D20" s="10">
        <v>0</v>
      </c>
      <c r="E20" s="10">
        <v>281491</v>
      </c>
      <c r="F20" s="10">
        <v>2386851</v>
      </c>
      <c r="G20" s="10">
        <v>30614</v>
      </c>
      <c r="H20" s="10">
        <f t="shared" si="0"/>
        <v>2952660</v>
      </c>
    </row>
    <row r="21" spans="1:8" x14ac:dyDescent="0.35">
      <c r="A21" s="7">
        <v>40756</v>
      </c>
      <c r="B21" s="11">
        <v>40746</v>
      </c>
      <c r="C21" s="9">
        <v>151500</v>
      </c>
      <c r="D21" s="10">
        <v>109386</v>
      </c>
      <c r="E21" s="10">
        <v>338721</v>
      </c>
      <c r="F21" s="10">
        <v>2466791</v>
      </c>
      <c r="G21" s="10">
        <v>22057</v>
      </c>
      <c r="H21" s="10">
        <f t="shared" si="0"/>
        <v>3129201</v>
      </c>
    </row>
    <row r="22" spans="1:8" x14ac:dyDescent="0.35">
      <c r="A22" s="7">
        <v>40787</v>
      </c>
      <c r="B22" s="11">
        <v>176494</v>
      </c>
      <c r="C22" s="9">
        <v>265720</v>
      </c>
      <c r="D22" s="10">
        <v>293463</v>
      </c>
      <c r="E22" s="10">
        <v>134792</v>
      </c>
      <c r="F22" s="10">
        <v>2449438</v>
      </c>
      <c r="G22" s="10">
        <v>29224</v>
      </c>
      <c r="H22" s="10">
        <f t="shared" si="0"/>
        <v>3349131</v>
      </c>
    </row>
    <row r="23" spans="1:8" x14ac:dyDescent="0.35">
      <c r="A23" s="7">
        <v>40817</v>
      </c>
      <c r="B23" s="11">
        <v>37816</v>
      </c>
      <c r="C23" s="9">
        <v>157703</v>
      </c>
      <c r="D23" s="10">
        <v>355898</v>
      </c>
      <c r="E23" s="10">
        <v>286961</v>
      </c>
      <c r="F23" s="10">
        <v>3032957</v>
      </c>
      <c r="G23" s="10">
        <v>30066</v>
      </c>
      <c r="H23" s="10">
        <f t="shared" si="0"/>
        <v>3901401</v>
      </c>
    </row>
    <row r="24" spans="1:8" x14ac:dyDescent="0.35">
      <c r="A24" s="7">
        <v>40848</v>
      </c>
      <c r="B24" s="11">
        <v>34110</v>
      </c>
      <c r="C24" s="9">
        <v>153129</v>
      </c>
      <c r="D24" s="10">
        <v>184762</v>
      </c>
      <c r="E24" s="10">
        <v>647765</v>
      </c>
      <c r="F24" s="10">
        <v>2097424</v>
      </c>
      <c r="G24" s="10">
        <v>28032</v>
      </c>
      <c r="H24" s="10">
        <f t="shared" si="0"/>
        <v>3145222</v>
      </c>
    </row>
    <row r="25" spans="1:8" x14ac:dyDescent="0.35">
      <c r="A25" s="7">
        <v>40878</v>
      </c>
      <c r="B25" s="11">
        <v>201822</v>
      </c>
      <c r="C25" s="9">
        <v>321368</v>
      </c>
      <c r="D25" s="10">
        <v>196122</v>
      </c>
      <c r="E25" s="10">
        <v>246374</v>
      </c>
      <c r="F25" s="10">
        <v>3685140</v>
      </c>
      <c r="G25" s="10">
        <v>34895</v>
      </c>
      <c r="H25" s="10">
        <f t="shared" si="0"/>
        <v>4685721</v>
      </c>
    </row>
    <row r="26" spans="1:8" x14ac:dyDescent="0.35">
      <c r="A26" s="7">
        <v>40909</v>
      </c>
      <c r="B26" s="11">
        <v>49423</v>
      </c>
      <c r="C26" s="9">
        <v>143529</v>
      </c>
      <c r="D26" s="10">
        <v>13451</v>
      </c>
      <c r="E26" s="10">
        <v>152913</v>
      </c>
      <c r="F26" s="10">
        <v>3072644</v>
      </c>
      <c r="G26" s="10">
        <v>39878</v>
      </c>
      <c r="H26" s="10">
        <f t="shared" si="0"/>
        <v>3471838</v>
      </c>
    </row>
    <row r="27" spans="1:8" x14ac:dyDescent="0.35">
      <c r="A27" s="7">
        <v>40940</v>
      </c>
      <c r="B27" s="11">
        <v>46030</v>
      </c>
      <c r="C27" s="9">
        <v>193520</v>
      </c>
      <c r="D27" s="10">
        <v>0</v>
      </c>
      <c r="E27" s="10">
        <v>205287</v>
      </c>
      <c r="F27" s="10">
        <v>2964104</v>
      </c>
      <c r="G27" s="10">
        <v>26658</v>
      </c>
      <c r="H27" s="10">
        <f t="shared" si="0"/>
        <v>3435599</v>
      </c>
    </row>
    <row r="28" spans="1:8" x14ac:dyDescent="0.35">
      <c r="A28" s="7">
        <v>40969</v>
      </c>
      <c r="B28" s="11">
        <v>291127</v>
      </c>
      <c r="C28" s="9">
        <v>239681</v>
      </c>
      <c r="D28" s="10">
        <v>33432</v>
      </c>
      <c r="E28" s="10">
        <v>236271</v>
      </c>
      <c r="F28" s="10">
        <v>2981038</v>
      </c>
      <c r="G28" s="10">
        <v>24943</v>
      </c>
      <c r="H28" s="10">
        <f t="shared" si="0"/>
        <v>3806492</v>
      </c>
    </row>
    <row r="29" spans="1:8" x14ac:dyDescent="0.35">
      <c r="A29" s="7">
        <v>41000</v>
      </c>
      <c r="B29" s="11">
        <v>41250</v>
      </c>
      <c r="C29" s="9">
        <v>421653</v>
      </c>
      <c r="D29" s="10">
        <v>149457</v>
      </c>
      <c r="E29" s="10">
        <v>199460</v>
      </c>
      <c r="F29" s="10">
        <v>2734513</v>
      </c>
      <c r="G29" s="10">
        <v>22557</v>
      </c>
      <c r="H29" s="10">
        <f t="shared" si="0"/>
        <v>3568890</v>
      </c>
    </row>
    <row r="30" spans="1:8" x14ac:dyDescent="0.35">
      <c r="A30" s="7">
        <v>41030</v>
      </c>
      <c r="B30" s="11">
        <v>44183</v>
      </c>
      <c r="C30" s="9">
        <v>302443</v>
      </c>
      <c r="D30" s="10">
        <v>0</v>
      </c>
      <c r="E30" s="10">
        <v>318134</v>
      </c>
      <c r="F30" s="10">
        <v>2842468</v>
      </c>
      <c r="G30" s="10">
        <v>29438</v>
      </c>
      <c r="H30" s="10">
        <f t="shared" si="0"/>
        <v>3536666</v>
      </c>
    </row>
    <row r="31" spans="1:8" x14ac:dyDescent="0.35">
      <c r="A31" s="7">
        <v>41061</v>
      </c>
      <c r="B31" s="11">
        <v>237835</v>
      </c>
      <c r="C31" s="9">
        <v>199740</v>
      </c>
      <c r="D31" s="10">
        <v>34830</v>
      </c>
      <c r="E31" s="10">
        <v>529713</v>
      </c>
      <c r="F31" s="10">
        <v>2769628</v>
      </c>
      <c r="G31" s="10">
        <v>22485</v>
      </c>
      <c r="H31" s="10">
        <f t="shared" si="0"/>
        <v>3794231</v>
      </c>
    </row>
    <row r="32" spans="1:8" x14ac:dyDescent="0.35">
      <c r="A32" s="7">
        <v>41091</v>
      </c>
      <c r="B32" s="11">
        <v>57832</v>
      </c>
      <c r="C32" s="9">
        <v>442741</v>
      </c>
      <c r="D32" s="10">
        <v>0</v>
      </c>
      <c r="E32" s="10">
        <v>278996</v>
      </c>
      <c r="F32" s="10">
        <v>2331580</v>
      </c>
      <c r="G32" s="10">
        <v>21746</v>
      </c>
      <c r="H32" s="10">
        <f t="shared" si="0"/>
        <v>3132895</v>
      </c>
    </row>
    <row r="33" spans="1:8" x14ac:dyDescent="0.35">
      <c r="A33" s="7">
        <v>41122</v>
      </c>
      <c r="B33" s="11">
        <v>45454</v>
      </c>
      <c r="C33" s="9">
        <v>236564</v>
      </c>
      <c r="D33" s="10">
        <v>6290</v>
      </c>
      <c r="E33" s="10">
        <v>184784</v>
      </c>
      <c r="F33" s="10">
        <v>2742146</v>
      </c>
      <c r="G33" s="10">
        <v>69631</v>
      </c>
      <c r="H33" s="10">
        <f t="shared" si="0"/>
        <v>3284869</v>
      </c>
    </row>
    <row r="34" spans="1:8" x14ac:dyDescent="0.35">
      <c r="A34" s="7">
        <v>41153</v>
      </c>
      <c r="B34" s="11">
        <v>271961</v>
      </c>
      <c r="C34" s="9">
        <v>422810</v>
      </c>
      <c r="D34" s="10">
        <v>10055</v>
      </c>
      <c r="E34" s="10">
        <v>348403</v>
      </c>
      <c r="F34" s="10">
        <v>2891941</v>
      </c>
      <c r="G34" s="10">
        <v>23658</v>
      </c>
      <c r="H34" s="10">
        <f t="shared" ref="H34:H65" si="1">SUM(B34:G34)</f>
        <v>3968828</v>
      </c>
    </row>
    <row r="35" spans="1:8" x14ac:dyDescent="0.35">
      <c r="A35" s="7">
        <v>41183</v>
      </c>
      <c r="B35" s="11">
        <v>56833</v>
      </c>
      <c r="C35" s="9">
        <v>223170</v>
      </c>
      <c r="D35" s="10">
        <v>0</v>
      </c>
      <c r="E35" s="10">
        <v>390143</v>
      </c>
      <c r="F35" s="10">
        <v>3173502</v>
      </c>
      <c r="G35" s="10">
        <v>31994</v>
      </c>
      <c r="H35" s="10">
        <f t="shared" si="1"/>
        <v>3875642</v>
      </c>
    </row>
    <row r="36" spans="1:8" x14ac:dyDescent="0.35">
      <c r="A36" s="7">
        <v>41214</v>
      </c>
      <c r="B36" s="11">
        <v>41352</v>
      </c>
      <c r="C36" s="9">
        <v>646469</v>
      </c>
      <c r="D36" s="10">
        <v>0</v>
      </c>
      <c r="E36" s="10">
        <v>408024</v>
      </c>
      <c r="F36" s="10">
        <v>3609447</v>
      </c>
      <c r="G36" s="10">
        <v>68182</v>
      </c>
      <c r="H36" s="10">
        <f t="shared" si="1"/>
        <v>4773474</v>
      </c>
    </row>
    <row r="37" spans="1:8" x14ac:dyDescent="0.35">
      <c r="A37" s="7">
        <v>41244</v>
      </c>
      <c r="B37" s="11">
        <v>360754</v>
      </c>
      <c r="C37" s="9">
        <v>143624</v>
      </c>
      <c r="D37" s="10">
        <v>6142</v>
      </c>
      <c r="E37" s="10">
        <v>267511</v>
      </c>
      <c r="F37" s="10">
        <v>3913542</v>
      </c>
      <c r="G37" s="10">
        <v>35705</v>
      </c>
      <c r="H37" s="10">
        <f t="shared" si="1"/>
        <v>4727278</v>
      </c>
    </row>
    <row r="38" spans="1:8" x14ac:dyDescent="0.35">
      <c r="A38" s="7">
        <v>41275</v>
      </c>
      <c r="B38" s="11">
        <v>110892</v>
      </c>
      <c r="C38" s="9">
        <v>165653</v>
      </c>
      <c r="D38" s="10">
        <v>0</v>
      </c>
      <c r="E38" s="10">
        <v>185181</v>
      </c>
      <c r="F38" s="10">
        <v>2481044</v>
      </c>
      <c r="G38" s="10">
        <v>318036</v>
      </c>
      <c r="H38" s="10">
        <f t="shared" si="1"/>
        <v>3260806</v>
      </c>
    </row>
    <row r="39" spans="1:8" x14ac:dyDescent="0.35">
      <c r="A39" s="7">
        <v>41306</v>
      </c>
      <c r="B39" s="11">
        <v>93995</v>
      </c>
      <c r="C39" s="9">
        <v>229414</v>
      </c>
      <c r="D39" s="10">
        <v>60051</v>
      </c>
      <c r="E39" s="10">
        <v>197004</v>
      </c>
      <c r="F39" s="10">
        <v>3861235</v>
      </c>
      <c r="G39" s="10">
        <v>21823</v>
      </c>
      <c r="H39" s="10">
        <f t="shared" si="1"/>
        <v>4463522</v>
      </c>
    </row>
    <row r="40" spans="1:8" x14ac:dyDescent="0.35">
      <c r="A40" s="7">
        <v>41334</v>
      </c>
      <c r="B40" s="11">
        <v>115950</v>
      </c>
      <c r="C40" s="9">
        <v>223789</v>
      </c>
      <c r="D40" s="10">
        <v>89378</v>
      </c>
      <c r="E40" s="10">
        <v>491541</v>
      </c>
      <c r="F40" s="10">
        <v>6087332</v>
      </c>
      <c r="G40" s="10">
        <v>19781</v>
      </c>
      <c r="H40" s="10">
        <f t="shared" si="1"/>
        <v>7027771</v>
      </c>
    </row>
    <row r="41" spans="1:8" x14ac:dyDescent="0.35">
      <c r="A41" s="7">
        <v>41365</v>
      </c>
      <c r="B41" s="11">
        <v>108140</v>
      </c>
      <c r="C41" s="9">
        <v>139589</v>
      </c>
      <c r="D41" s="10">
        <v>171136</v>
      </c>
      <c r="E41" s="10">
        <v>118963</v>
      </c>
      <c r="F41" s="10">
        <v>3091870</v>
      </c>
      <c r="G41" s="10">
        <v>21421</v>
      </c>
      <c r="H41" s="10">
        <f t="shared" si="1"/>
        <v>3651119</v>
      </c>
    </row>
    <row r="42" spans="1:8" x14ac:dyDescent="0.35">
      <c r="A42" s="7">
        <v>41395</v>
      </c>
      <c r="B42" s="11">
        <v>141204</v>
      </c>
      <c r="C42" s="9">
        <v>150236</v>
      </c>
      <c r="D42" s="10">
        <v>0</v>
      </c>
      <c r="E42" s="10">
        <v>373058</v>
      </c>
      <c r="F42" s="10">
        <v>3187991</v>
      </c>
      <c r="G42" s="10">
        <v>19070</v>
      </c>
      <c r="H42" s="10">
        <f t="shared" si="1"/>
        <v>3871559</v>
      </c>
    </row>
    <row r="43" spans="1:8" x14ac:dyDescent="0.35">
      <c r="A43" s="7">
        <v>41426</v>
      </c>
      <c r="B43" s="11">
        <v>102078</v>
      </c>
      <c r="C43" s="9">
        <v>215451</v>
      </c>
      <c r="D43" s="10">
        <v>0</v>
      </c>
      <c r="E43" s="10">
        <v>149086</v>
      </c>
      <c r="F43" s="10">
        <v>4196302</v>
      </c>
      <c r="G43" s="10">
        <v>19565</v>
      </c>
      <c r="H43" s="10">
        <f t="shared" si="1"/>
        <v>4682482</v>
      </c>
    </row>
    <row r="44" spans="1:8" x14ac:dyDescent="0.35">
      <c r="A44" s="7">
        <v>41456</v>
      </c>
      <c r="B44" s="11">
        <v>52065</v>
      </c>
      <c r="C44" s="9">
        <v>125118</v>
      </c>
      <c r="D44" s="10">
        <v>0</v>
      </c>
      <c r="E44" s="10">
        <v>337866</v>
      </c>
      <c r="F44" s="10">
        <v>4362544</v>
      </c>
      <c r="G44" s="10">
        <v>19054</v>
      </c>
      <c r="H44" s="10">
        <f t="shared" si="1"/>
        <v>4896647</v>
      </c>
    </row>
    <row r="45" spans="1:8" x14ac:dyDescent="0.35">
      <c r="A45" s="7">
        <v>41487</v>
      </c>
      <c r="B45" s="11">
        <v>176798</v>
      </c>
      <c r="C45" s="9">
        <v>168970</v>
      </c>
      <c r="D45" s="10">
        <v>0</v>
      </c>
      <c r="E45" s="10">
        <v>170182</v>
      </c>
      <c r="F45" s="10">
        <v>4457770</v>
      </c>
      <c r="G45" s="10">
        <v>82169</v>
      </c>
      <c r="H45" s="10">
        <f t="shared" si="1"/>
        <v>5055889</v>
      </c>
    </row>
    <row r="46" spans="1:8" x14ac:dyDescent="0.35">
      <c r="A46" s="7">
        <v>41518</v>
      </c>
      <c r="B46" s="11">
        <v>101307</v>
      </c>
      <c r="C46" s="9">
        <v>100205</v>
      </c>
      <c r="D46" s="10">
        <v>0</v>
      </c>
      <c r="E46" s="10">
        <v>197890</v>
      </c>
      <c r="F46" s="10">
        <v>4468536</v>
      </c>
      <c r="G46" s="10">
        <v>20406</v>
      </c>
      <c r="H46" s="10">
        <f t="shared" si="1"/>
        <v>4888344</v>
      </c>
    </row>
    <row r="47" spans="1:8" x14ac:dyDescent="0.35">
      <c r="A47" s="7">
        <v>41548</v>
      </c>
      <c r="B47" s="11">
        <v>88577</v>
      </c>
      <c r="C47" s="9">
        <v>159745</v>
      </c>
      <c r="D47" s="10">
        <v>0</v>
      </c>
      <c r="E47" s="10">
        <v>222160</v>
      </c>
      <c r="F47" s="10">
        <v>4752463</v>
      </c>
      <c r="G47" s="10">
        <v>19465</v>
      </c>
      <c r="H47" s="10">
        <f t="shared" si="1"/>
        <v>5242410</v>
      </c>
    </row>
    <row r="48" spans="1:8" x14ac:dyDescent="0.35">
      <c r="A48" s="7">
        <v>41579</v>
      </c>
      <c r="B48" s="11">
        <v>87724</v>
      </c>
      <c r="C48" s="9">
        <v>122709</v>
      </c>
      <c r="D48" s="10">
        <v>0</v>
      </c>
      <c r="E48" s="10">
        <v>181567</v>
      </c>
      <c r="F48" s="10">
        <v>4978774</v>
      </c>
      <c r="G48" s="10">
        <v>19121</v>
      </c>
      <c r="H48" s="10">
        <f t="shared" si="1"/>
        <v>5389895</v>
      </c>
    </row>
    <row r="49" spans="1:8" x14ac:dyDescent="0.35">
      <c r="A49" s="7">
        <v>41609</v>
      </c>
      <c r="B49" s="11">
        <v>148668</v>
      </c>
      <c r="C49" s="9">
        <v>130690</v>
      </c>
      <c r="D49" s="10">
        <v>0</v>
      </c>
      <c r="E49" s="10">
        <v>267898</v>
      </c>
      <c r="F49" s="10">
        <v>5626005</v>
      </c>
      <c r="G49" s="10">
        <v>36050</v>
      </c>
      <c r="H49" s="10">
        <f t="shared" si="1"/>
        <v>6209311</v>
      </c>
    </row>
    <row r="50" spans="1:8" x14ac:dyDescent="0.35">
      <c r="A50" s="7">
        <v>41640</v>
      </c>
      <c r="B50" s="11">
        <v>136420</v>
      </c>
      <c r="C50" s="9">
        <v>50384</v>
      </c>
      <c r="D50" s="10">
        <v>850</v>
      </c>
      <c r="E50" s="10">
        <v>66961</v>
      </c>
      <c r="F50" s="10">
        <v>4832826</v>
      </c>
      <c r="G50" s="10">
        <v>18248</v>
      </c>
      <c r="H50" s="10">
        <f t="shared" si="1"/>
        <v>5105689</v>
      </c>
    </row>
    <row r="51" spans="1:8" x14ac:dyDescent="0.35">
      <c r="A51" s="7">
        <v>41671</v>
      </c>
      <c r="B51" s="11">
        <v>92990</v>
      </c>
      <c r="C51" s="9">
        <v>63330</v>
      </c>
      <c r="D51" s="10">
        <v>0</v>
      </c>
      <c r="E51" s="10">
        <v>28607</v>
      </c>
      <c r="F51" s="10">
        <v>6442796</v>
      </c>
      <c r="G51" s="10">
        <v>18873</v>
      </c>
      <c r="H51" s="10">
        <f t="shared" si="1"/>
        <v>6646596</v>
      </c>
    </row>
    <row r="52" spans="1:8" x14ac:dyDescent="0.35">
      <c r="A52" s="7">
        <v>41699</v>
      </c>
      <c r="B52" s="11">
        <v>91119</v>
      </c>
      <c r="C52" s="9">
        <v>80207</v>
      </c>
      <c r="D52" s="10">
        <v>11713</v>
      </c>
      <c r="E52" s="10">
        <v>585716</v>
      </c>
      <c r="F52" s="10">
        <v>6049913</v>
      </c>
      <c r="G52" s="10">
        <v>18154</v>
      </c>
      <c r="H52" s="10">
        <f t="shared" si="1"/>
        <v>6836822</v>
      </c>
    </row>
    <row r="53" spans="1:8" x14ac:dyDescent="0.35">
      <c r="A53" s="7">
        <v>41730</v>
      </c>
      <c r="B53" s="11">
        <v>102687</v>
      </c>
      <c r="C53" s="9">
        <v>74090</v>
      </c>
      <c r="D53" s="10">
        <v>0</v>
      </c>
      <c r="E53" s="10">
        <v>32873</v>
      </c>
      <c r="F53" s="10">
        <v>6135388</v>
      </c>
      <c r="G53" s="10">
        <v>17399</v>
      </c>
      <c r="H53" s="10">
        <f t="shared" si="1"/>
        <v>6362437</v>
      </c>
    </row>
    <row r="54" spans="1:8" x14ac:dyDescent="0.35">
      <c r="A54" s="7">
        <v>41760</v>
      </c>
      <c r="B54" s="11">
        <v>79277</v>
      </c>
      <c r="C54" s="9">
        <v>78808</v>
      </c>
      <c r="D54" s="10">
        <v>12436</v>
      </c>
      <c r="E54" s="10">
        <v>151007</v>
      </c>
      <c r="F54" s="10">
        <v>5829844</v>
      </c>
      <c r="G54" s="10">
        <v>16403</v>
      </c>
      <c r="H54" s="10">
        <f t="shared" si="1"/>
        <v>6167775</v>
      </c>
    </row>
    <row r="55" spans="1:8" x14ac:dyDescent="0.35">
      <c r="A55" s="7">
        <v>41791</v>
      </c>
      <c r="B55" s="11">
        <v>94168</v>
      </c>
      <c r="C55" s="9">
        <v>54584</v>
      </c>
      <c r="D55" s="10">
        <v>0</v>
      </c>
      <c r="E55" s="10">
        <v>37277</v>
      </c>
      <c r="F55" s="10">
        <v>5570953</v>
      </c>
      <c r="G55" s="10">
        <v>12362</v>
      </c>
      <c r="H55" s="10">
        <f t="shared" si="1"/>
        <v>5769344</v>
      </c>
    </row>
    <row r="56" spans="1:8" x14ac:dyDescent="0.35">
      <c r="A56" s="7">
        <v>41821</v>
      </c>
      <c r="B56" s="11">
        <v>66169</v>
      </c>
      <c r="C56" s="9">
        <v>64506</v>
      </c>
      <c r="D56" s="10">
        <v>1339</v>
      </c>
      <c r="E56" s="10">
        <v>36392</v>
      </c>
      <c r="F56" s="10">
        <v>6857482</v>
      </c>
      <c r="G56" s="10">
        <v>15382</v>
      </c>
      <c r="H56" s="10">
        <f t="shared" si="1"/>
        <v>7041270</v>
      </c>
    </row>
    <row r="57" spans="1:8" x14ac:dyDescent="0.35">
      <c r="A57" s="7">
        <v>41852</v>
      </c>
      <c r="B57" s="11">
        <v>110642</v>
      </c>
      <c r="C57" s="9">
        <v>42095</v>
      </c>
      <c r="D57" s="10">
        <v>0</v>
      </c>
      <c r="E57" s="10">
        <v>140483</v>
      </c>
      <c r="F57" s="10">
        <v>5818529</v>
      </c>
      <c r="G57" s="10">
        <v>12969</v>
      </c>
      <c r="H57" s="10">
        <f t="shared" si="1"/>
        <v>6124718</v>
      </c>
    </row>
    <row r="58" spans="1:8" x14ac:dyDescent="0.35">
      <c r="A58" s="7">
        <v>41883</v>
      </c>
      <c r="B58" s="11">
        <v>45336</v>
      </c>
      <c r="C58" s="9">
        <v>217970</v>
      </c>
      <c r="D58" s="10">
        <v>841730</v>
      </c>
      <c r="E58" s="10">
        <v>64015</v>
      </c>
      <c r="F58" s="10">
        <v>7097344</v>
      </c>
      <c r="G58" s="10">
        <v>41653</v>
      </c>
      <c r="H58" s="10">
        <f t="shared" si="1"/>
        <v>8308048</v>
      </c>
    </row>
    <row r="59" spans="1:8" x14ac:dyDescent="0.35">
      <c r="A59" s="7">
        <v>41913</v>
      </c>
      <c r="B59" s="11">
        <v>44540</v>
      </c>
      <c r="C59" s="9">
        <v>97641</v>
      </c>
      <c r="D59" s="10">
        <v>0</v>
      </c>
      <c r="E59" s="10">
        <v>164214</v>
      </c>
      <c r="F59" s="10">
        <v>6871395</v>
      </c>
      <c r="G59" s="10">
        <v>4311</v>
      </c>
      <c r="H59" s="10">
        <f t="shared" si="1"/>
        <v>7182101</v>
      </c>
    </row>
    <row r="60" spans="1:8" x14ac:dyDescent="0.35">
      <c r="A60" s="7">
        <v>41944</v>
      </c>
      <c r="B60" s="11">
        <v>44511</v>
      </c>
      <c r="C60" s="9">
        <v>82128</v>
      </c>
      <c r="D60" s="10">
        <v>0</v>
      </c>
      <c r="E60" s="10">
        <v>23848</v>
      </c>
      <c r="F60" s="10">
        <v>7658596</v>
      </c>
      <c r="G60" s="10">
        <v>35406</v>
      </c>
      <c r="H60" s="10">
        <f t="shared" si="1"/>
        <v>7844489</v>
      </c>
    </row>
    <row r="61" spans="1:8" x14ac:dyDescent="0.35">
      <c r="A61" s="7">
        <v>41974</v>
      </c>
      <c r="B61" s="11">
        <v>62287</v>
      </c>
      <c r="C61" s="9">
        <v>1392559</v>
      </c>
      <c r="D61" s="10">
        <v>495548</v>
      </c>
      <c r="E61" s="10">
        <v>37358</v>
      </c>
      <c r="F61" s="10">
        <v>9206974</v>
      </c>
      <c r="G61" s="10">
        <v>19532</v>
      </c>
      <c r="H61" s="10">
        <f t="shared" si="1"/>
        <v>11214258</v>
      </c>
    </row>
    <row r="62" spans="1:8" x14ac:dyDescent="0.35">
      <c r="A62" s="7">
        <v>42005</v>
      </c>
      <c r="B62" s="11">
        <v>45661</v>
      </c>
      <c r="C62" s="9">
        <v>357465</v>
      </c>
      <c r="D62" s="10">
        <v>25484</v>
      </c>
      <c r="E62" s="10">
        <v>55056</v>
      </c>
      <c r="F62" s="10">
        <v>6395794</v>
      </c>
      <c r="G62" s="10">
        <v>46858</v>
      </c>
      <c r="H62" s="10">
        <f t="shared" si="1"/>
        <v>6926318</v>
      </c>
    </row>
    <row r="63" spans="1:8" x14ac:dyDescent="0.35">
      <c r="A63" s="7">
        <v>42036</v>
      </c>
      <c r="B63" s="11">
        <v>56388</v>
      </c>
      <c r="C63" s="9">
        <v>144086</v>
      </c>
      <c r="D63" s="10">
        <v>9901</v>
      </c>
      <c r="E63" s="10">
        <v>16289</v>
      </c>
      <c r="F63" s="10">
        <v>6861828</v>
      </c>
      <c r="G63" s="10">
        <v>19006</v>
      </c>
      <c r="H63" s="10">
        <f t="shared" si="1"/>
        <v>7107498</v>
      </c>
    </row>
    <row r="64" spans="1:8" x14ac:dyDescent="0.35">
      <c r="A64" s="7">
        <v>42064</v>
      </c>
      <c r="B64" s="11">
        <v>67685</v>
      </c>
      <c r="C64" s="9">
        <v>93834</v>
      </c>
      <c r="D64" s="10">
        <v>0</v>
      </c>
      <c r="E64" s="10">
        <v>24495</v>
      </c>
      <c r="F64" s="10">
        <v>6393201</v>
      </c>
      <c r="G64" s="10">
        <v>18471</v>
      </c>
      <c r="H64" s="10">
        <f t="shared" si="1"/>
        <v>6597686</v>
      </c>
    </row>
    <row r="65" spans="1:8" x14ac:dyDescent="0.35">
      <c r="A65" s="7">
        <v>42095</v>
      </c>
      <c r="B65" s="11">
        <v>35115</v>
      </c>
      <c r="C65" s="9">
        <v>70004</v>
      </c>
      <c r="D65" s="10">
        <v>35077</v>
      </c>
      <c r="E65" s="10">
        <v>38594</v>
      </c>
      <c r="F65" s="10">
        <v>5823079</v>
      </c>
      <c r="G65" s="10">
        <v>35847</v>
      </c>
      <c r="H65" s="10">
        <f t="shared" si="1"/>
        <v>6037716</v>
      </c>
    </row>
    <row r="66" spans="1:8" x14ac:dyDescent="0.35">
      <c r="A66" s="7">
        <v>42125</v>
      </c>
      <c r="B66" s="11">
        <v>69350</v>
      </c>
      <c r="C66" s="9">
        <v>75479</v>
      </c>
      <c r="D66" s="10">
        <v>7762</v>
      </c>
      <c r="E66" s="10">
        <v>35461</v>
      </c>
      <c r="F66" s="10">
        <v>6741140</v>
      </c>
      <c r="G66" s="10">
        <v>18370</v>
      </c>
      <c r="H66" s="10">
        <f t="shared" ref="H66:H79" si="2">SUM(B66:G66)</f>
        <v>6947562</v>
      </c>
    </row>
    <row r="67" spans="1:8" x14ac:dyDescent="0.35">
      <c r="A67" s="7">
        <v>42156</v>
      </c>
      <c r="B67" s="11">
        <v>34209.660000000003</v>
      </c>
      <c r="C67" s="9">
        <v>74841.53</v>
      </c>
      <c r="D67" s="10">
        <v>7675.68</v>
      </c>
      <c r="E67" s="10">
        <v>25791.87</v>
      </c>
      <c r="F67" s="10">
        <v>7498073.5300000003</v>
      </c>
      <c r="G67" s="10">
        <v>18345.78</v>
      </c>
      <c r="H67" s="10">
        <f t="shared" si="2"/>
        <v>7658938.0500000007</v>
      </c>
    </row>
    <row r="68" spans="1:8" x14ac:dyDescent="0.35">
      <c r="A68" s="7">
        <v>42186</v>
      </c>
      <c r="B68" s="11">
        <v>28343</v>
      </c>
      <c r="C68" s="9">
        <v>0</v>
      </c>
      <c r="D68" s="10">
        <v>1789</v>
      </c>
      <c r="E68" s="10">
        <v>73290</v>
      </c>
      <c r="F68" s="10">
        <v>6734622</v>
      </c>
      <c r="G68" s="10">
        <v>18608</v>
      </c>
      <c r="H68" s="10">
        <f t="shared" si="2"/>
        <v>6856652</v>
      </c>
    </row>
    <row r="69" spans="1:8" x14ac:dyDescent="0.35">
      <c r="A69" s="7">
        <v>42217</v>
      </c>
      <c r="B69" s="11">
        <v>62200</v>
      </c>
      <c r="C69" s="9">
        <v>278694</v>
      </c>
      <c r="D69" s="10">
        <v>14166</v>
      </c>
      <c r="E69" s="10">
        <v>25086</v>
      </c>
      <c r="F69" s="10">
        <v>5124793</v>
      </c>
      <c r="G69" s="10">
        <v>18217</v>
      </c>
      <c r="H69" s="10">
        <f t="shared" si="2"/>
        <v>5523156</v>
      </c>
    </row>
    <row r="70" spans="1:8" x14ac:dyDescent="0.35">
      <c r="A70" s="7">
        <v>42248</v>
      </c>
      <c r="B70" s="11">
        <v>60910</v>
      </c>
      <c r="C70" s="9">
        <v>114211</v>
      </c>
      <c r="D70" s="10">
        <v>0</v>
      </c>
      <c r="E70" s="10">
        <v>687215</v>
      </c>
      <c r="F70" s="10">
        <v>5734124</v>
      </c>
      <c r="G70" s="10">
        <v>20238</v>
      </c>
      <c r="H70" s="10">
        <f t="shared" si="2"/>
        <v>6616698</v>
      </c>
    </row>
    <row r="71" spans="1:8" x14ac:dyDescent="0.35">
      <c r="A71" s="7">
        <v>42278</v>
      </c>
      <c r="B71" s="11">
        <v>48660</v>
      </c>
      <c r="C71" s="9">
        <v>249709</v>
      </c>
      <c r="D71" s="10">
        <v>20937</v>
      </c>
      <c r="E71" s="10">
        <v>82243</v>
      </c>
      <c r="F71" s="10">
        <v>6071410</v>
      </c>
      <c r="G71" s="10">
        <v>20439</v>
      </c>
      <c r="H71" s="10">
        <f t="shared" si="2"/>
        <v>6493398</v>
      </c>
    </row>
    <row r="72" spans="1:8" x14ac:dyDescent="0.35">
      <c r="A72" s="7">
        <v>42309</v>
      </c>
      <c r="B72" s="11">
        <v>32624</v>
      </c>
      <c r="C72" s="9">
        <v>73929</v>
      </c>
      <c r="D72" s="10">
        <v>0</v>
      </c>
      <c r="E72" s="10">
        <v>77094</v>
      </c>
      <c r="F72" s="10">
        <v>5734180</v>
      </c>
      <c r="G72" s="10">
        <v>19869</v>
      </c>
      <c r="H72" s="10">
        <f t="shared" si="2"/>
        <v>5937696</v>
      </c>
    </row>
    <row r="73" spans="1:8" x14ac:dyDescent="0.35">
      <c r="A73" s="7">
        <v>42339</v>
      </c>
      <c r="B73" s="11">
        <v>35010.080000000002</v>
      </c>
      <c r="C73" s="9">
        <v>77950.83</v>
      </c>
      <c r="D73" s="10">
        <v>44480</v>
      </c>
      <c r="E73" s="10">
        <v>91535.51</v>
      </c>
      <c r="F73" s="10">
        <v>7684207.2800000003</v>
      </c>
      <c r="G73" s="10">
        <v>32682</v>
      </c>
      <c r="H73" s="10">
        <f t="shared" si="2"/>
        <v>7965865.7000000002</v>
      </c>
    </row>
    <row r="74" spans="1:8" x14ac:dyDescent="0.35">
      <c r="A74" s="7">
        <v>42370</v>
      </c>
      <c r="B74" s="11">
        <v>41462</v>
      </c>
      <c r="C74" s="9">
        <v>71706</v>
      </c>
      <c r="D74" s="10">
        <v>66712</v>
      </c>
      <c r="E74" s="10">
        <v>218258</v>
      </c>
      <c r="F74" s="10">
        <v>6011238</v>
      </c>
      <c r="G74" s="10">
        <v>33995</v>
      </c>
      <c r="H74" s="10">
        <f t="shared" si="2"/>
        <v>6443371</v>
      </c>
    </row>
    <row r="75" spans="1:8" x14ac:dyDescent="0.35">
      <c r="A75" s="7">
        <v>42401</v>
      </c>
      <c r="B75" s="11">
        <v>38134.639999999999</v>
      </c>
      <c r="C75" s="9">
        <v>46535.29</v>
      </c>
      <c r="D75" s="10">
        <v>17161.759999999998</v>
      </c>
      <c r="E75" s="10">
        <v>94023.5</v>
      </c>
      <c r="F75" s="10">
        <v>5806029.0999999996</v>
      </c>
      <c r="G75" s="10">
        <v>20750.5</v>
      </c>
      <c r="H75" s="10">
        <f t="shared" si="2"/>
        <v>6022634.79</v>
      </c>
    </row>
    <row r="76" spans="1:8" x14ac:dyDescent="0.35">
      <c r="A76" s="7">
        <v>42430</v>
      </c>
      <c r="B76" s="11">
        <v>102567.6</v>
      </c>
      <c r="C76" s="9">
        <v>70545.84</v>
      </c>
      <c r="D76" s="10">
        <v>0</v>
      </c>
      <c r="E76" s="10">
        <v>674940.46</v>
      </c>
      <c r="F76" s="10">
        <v>5809678.96</v>
      </c>
      <c r="G76" s="10">
        <v>24606</v>
      </c>
      <c r="H76" s="10">
        <f t="shared" si="2"/>
        <v>6682338.8599999994</v>
      </c>
    </row>
    <row r="77" spans="1:8" x14ac:dyDescent="0.35">
      <c r="A77" s="7">
        <v>42461</v>
      </c>
      <c r="B77" s="11">
        <v>142260</v>
      </c>
      <c r="C77" s="9">
        <v>74894</v>
      </c>
      <c r="D77" s="10" t="s">
        <v>307</v>
      </c>
      <c r="E77" s="10">
        <v>125852</v>
      </c>
      <c r="F77" s="10">
        <v>5648323</v>
      </c>
      <c r="G77" s="10">
        <v>32545</v>
      </c>
      <c r="H77" s="10">
        <f t="shared" si="2"/>
        <v>6023874</v>
      </c>
    </row>
    <row r="78" spans="1:8" x14ac:dyDescent="0.35">
      <c r="A78" s="7">
        <v>42491</v>
      </c>
      <c r="B78" s="11">
        <v>85330.65</v>
      </c>
      <c r="C78" s="9">
        <v>1191706.45</v>
      </c>
      <c r="D78" s="10">
        <v>0</v>
      </c>
      <c r="E78" s="10">
        <v>566899.17000000004</v>
      </c>
      <c r="F78" s="10">
        <v>6067956.2400000002</v>
      </c>
      <c r="G78" s="10">
        <v>59410.5</v>
      </c>
      <c r="H78" s="10">
        <f t="shared" si="2"/>
        <v>7971303.0099999998</v>
      </c>
    </row>
    <row r="79" spans="1:8" x14ac:dyDescent="0.35">
      <c r="A79" s="7">
        <v>42522</v>
      </c>
      <c r="B79" s="11">
        <v>146125.31</v>
      </c>
      <c r="C79" s="9">
        <v>70520</v>
      </c>
      <c r="D79" s="10">
        <v>20752.09</v>
      </c>
      <c r="E79" s="10">
        <v>373800.97</v>
      </c>
      <c r="F79" s="10">
        <v>6009635.9500000002</v>
      </c>
      <c r="G79" s="10">
        <v>52110</v>
      </c>
      <c r="H79" s="10">
        <f t="shared" si="2"/>
        <v>6672944.3200000003</v>
      </c>
    </row>
    <row r="80" spans="1:8" x14ac:dyDescent="0.35">
      <c r="A80" s="7">
        <v>42552</v>
      </c>
      <c r="B80" s="11">
        <v>40402</v>
      </c>
      <c r="C80" s="9">
        <v>58080</v>
      </c>
      <c r="D80" s="10">
        <v>16245</v>
      </c>
      <c r="E80" s="10">
        <v>32972</v>
      </c>
      <c r="F80" s="10">
        <v>5914028</v>
      </c>
      <c r="G80" s="10">
        <v>29887</v>
      </c>
      <c r="H80" s="10">
        <f>SUM(B80:G80)</f>
        <v>6091614</v>
      </c>
    </row>
    <row r="81" spans="1:8" x14ac:dyDescent="0.35">
      <c r="A81" s="7">
        <v>42583</v>
      </c>
      <c r="B81" s="11">
        <v>35302</v>
      </c>
      <c r="C81" s="9">
        <v>83344</v>
      </c>
      <c r="D81" s="10">
        <v>142</v>
      </c>
      <c r="E81" s="10">
        <v>98392</v>
      </c>
      <c r="F81" s="10">
        <v>5582920</v>
      </c>
      <c r="G81" s="10">
        <v>76482</v>
      </c>
      <c r="H81" s="10">
        <f>SUM(B81:G81)</f>
        <v>5876582</v>
      </c>
    </row>
    <row r="82" spans="1:8" x14ac:dyDescent="0.35">
      <c r="A82" s="7">
        <v>42614</v>
      </c>
      <c r="B82" s="11">
        <v>44944.27</v>
      </c>
      <c r="C82" s="9">
        <v>74398</v>
      </c>
      <c r="D82" s="10">
        <v>59543.65</v>
      </c>
      <c r="E82" s="10">
        <v>136567.10999999999</v>
      </c>
      <c r="F82" s="10">
        <v>6292257.4800000004</v>
      </c>
      <c r="G82" s="10">
        <v>41734</v>
      </c>
      <c r="H82" s="10">
        <f>SUM(B82:G82)</f>
        <v>6649444.5100000007</v>
      </c>
    </row>
    <row r="83" spans="1:8" x14ac:dyDescent="0.35">
      <c r="A83" s="7">
        <v>42644</v>
      </c>
      <c r="B83" s="11">
        <v>34922.089999999997</v>
      </c>
      <c r="C83" s="9">
        <v>37833</v>
      </c>
      <c r="D83" s="10">
        <v>59289.82</v>
      </c>
      <c r="E83" s="10">
        <v>19161.349999999999</v>
      </c>
      <c r="F83" s="10">
        <v>5681781.1399999997</v>
      </c>
      <c r="G83" s="10">
        <v>33666</v>
      </c>
      <c r="H83" s="10">
        <f t="shared" ref="H83:H109" si="3">SUM(B83:G83)</f>
        <v>5866653.3999999994</v>
      </c>
    </row>
    <row r="84" spans="1:8" x14ac:dyDescent="0.35">
      <c r="A84" s="7">
        <v>42675</v>
      </c>
      <c r="B84" s="11">
        <v>22346</v>
      </c>
      <c r="C84" s="9">
        <v>37954</v>
      </c>
      <c r="D84" s="10">
        <v>1757</v>
      </c>
      <c r="E84" s="10">
        <v>155918</v>
      </c>
      <c r="F84" s="10">
        <v>7339575</v>
      </c>
      <c r="G84" s="10">
        <v>213066</v>
      </c>
      <c r="H84" s="10">
        <v>7770616</v>
      </c>
    </row>
    <row r="85" spans="1:8" ht="15" thickBot="1" x14ac:dyDescent="0.4">
      <c r="A85" s="55">
        <v>42705</v>
      </c>
      <c r="B85" s="67">
        <v>34813.550000000003</v>
      </c>
      <c r="C85" s="68">
        <v>67947</v>
      </c>
      <c r="D85" s="69">
        <v>95002.01</v>
      </c>
      <c r="E85" s="69">
        <v>154336.38</v>
      </c>
      <c r="F85" s="69">
        <v>7422826.0599999996</v>
      </c>
      <c r="G85" s="69">
        <v>44323.55</v>
      </c>
      <c r="H85" s="69">
        <f t="shared" si="3"/>
        <v>7819248.5499999998</v>
      </c>
    </row>
    <row r="86" spans="1:8" x14ac:dyDescent="0.35">
      <c r="A86" s="53">
        <v>42736</v>
      </c>
      <c r="B86" s="70">
        <v>30337.17</v>
      </c>
      <c r="C86" s="70">
        <v>41231</v>
      </c>
      <c r="D86" s="70">
        <v>43853</v>
      </c>
      <c r="E86" s="70">
        <v>85090.45</v>
      </c>
      <c r="F86" s="70">
        <v>6104170.1299999999</v>
      </c>
      <c r="G86" s="70">
        <v>287815.45</v>
      </c>
      <c r="H86" s="70">
        <f t="shared" si="3"/>
        <v>6592497.2000000002</v>
      </c>
    </row>
    <row r="87" spans="1:8" x14ac:dyDescent="0.35">
      <c r="A87" s="7">
        <v>42767</v>
      </c>
      <c r="B87" s="11">
        <v>27094.959999999999</v>
      </c>
      <c r="C87" s="11">
        <v>49097</v>
      </c>
      <c r="D87" s="11">
        <v>0</v>
      </c>
      <c r="E87" s="11">
        <v>117345.79</v>
      </c>
      <c r="F87" s="11">
        <v>5367266.6399999997</v>
      </c>
      <c r="G87" s="11">
        <v>24555.82</v>
      </c>
      <c r="H87" s="11">
        <f t="shared" si="3"/>
        <v>5585360.21</v>
      </c>
    </row>
    <row r="88" spans="1:8" x14ac:dyDescent="0.35">
      <c r="A88" s="7">
        <v>42795</v>
      </c>
      <c r="B88" s="11">
        <v>44691.83</v>
      </c>
      <c r="C88" s="11">
        <v>34745</v>
      </c>
      <c r="D88" s="11">
        <v>119113.03</v>
      </c>
      <c r="E88" s="11">
        <v>166987.41</v>
      </c>
      <c r="F88" s="11">
        <v>6065881.4900000002</v>
      </c>
      <c r="G88" s="11">
        <v>56689.01</v>
      </c>
      <c r="H88" s="11">
        <f t="shared" si="3"/>
        <v>6488107.7699999996</v>
      </c>
    </row>
    <row r="89" spans="1:8" x14ac:dyDescent="0.35">
      <c r="A89" s="7">
        <v>42826</v>
      </c>
      <c r="B89" s="11">
        <v>39983.31</v>
      </c>
      <c r="C89" s="11">
        <v>37963</v>
      </c>
      <c r="D89" s="11">
        <v>406076</v>
      </c>
      <c r="E89" s="11">
        <v>57012.21</v>
      </c>
      <c r="F89" s="11">
        <v>6167649.7800000003</v>
      </c>
      <c r="G89" s="11">
        <v>27559.5</v>
      </c>
      <c r="H89" s="11">
        <f t="shared" si="3"/>
        <v>6736243.8000000007</v>
      </c>
    </row>
    <row r="90" spans="1:8" x14ac:dyDescent="0.35">
      <c r="A90" s="7">
        <v>42856</v>
      </c>
      <c r="B90" s="11">
        <v>496181.23</v>
      </c>
      <c r="C90" s="11">
        <v>4057965</v>
      </c>
      <c r="D90" s="11">
        <v>502711.96</v>
      </c>
      <c r="E90" s="11">
        <v>90576.68</v>
      </c>
      <c r="F90" s="11">
        <v>6790969.2699999996</v>
      </c>
      <c r="G90" s="11">
        <v>34854</v>
      </c>
      <c r="H90" s="11">
        <f t="shared" si="3"/>
        <v>11973258.140000001</v>
      </c>
    </row>
    <row r="91" spans="1:8" x14ac:dyDescent="0.35">
      <c r="A91" s="7">
        <v>42887</v>
      </c>
      <c r="B91" s="11">
        <v>41778</v>
      </c>
      <c r="C91" s="11">
        <v>410617</v>
      </c>
      <c r="D91" s="11">
        <v>744316</v>
      </c>
      <c r="E91" s="11">
        <v>96049</v>
      </c>
      <c r="F91" s="11">
        <v>6159000</v>
      </c>
      <c r="G91" s="11">
        <v>29746</v>
      </c>
      <c r="H91" s="11">
        <f t="shared" si="3"/>
        <v>7481506</v>
      </c>
    </row>
    <row r="92" spans="1:8" x14ac:dyDescent="0.35">
      <c r="A92" s="7">
        <v>42917</v>
      </c>
      <c r="B92" s="11">
        <v>31339</v>
      </c>
      <c r="C92" s="11">
        <v>35939</v>
      </c>
      <c r="D92" s="11"/>
      <c r="E92" s="11">
        <v>131833</v>
      </c>
      <c r="F92" s="11">
        <v>6578018</v>
      </c>
      <c r="G92" s="11">
        <v>28051</v>
      </c>
      <c r="H92" s="11">
        <f t="shared" si="3"/>
        <v>6805180</v>
      </c>
    </row>
    <row r="93" spans="1:8" x14ac:dyDescent="0.35">
      <c r="A93" s="7">
        <v>42948</v>
      </c>
      <c r="B93" s="11">
        <v>50255</v>
      </c>
      <c r="C93" s="11">
        <v>30023</v>
      </c>
      <c r="D93" s="11">
        <v>86614</v>
      </c>
      <c r="E93" s="11">
        <v>39705</v>
      </c>
      <c r="F93" s="11">
        <v>5656600</v>
      </c>
      <c r="G93" s="11">
        <v>43642</v>
      </c>
      <c r="H93" s="11">
        <f t="shared" si="3"/>
        <v>5906839</v>
      </c>
    </row>
    <row r="94" spans="1:8" x14ac:dyDescent="0.35">
      <c r="A94" s="7">
        <v>42979</v>
      </c>
      <c r="B94" s="11">
        <v>3243</v>
      </c>
      <c r="C94" s="11">
        <v>106668</v>
      </c>
      <c r="D94" s="11">
        <v>144330</v>
      </c>
      <c r="E94" s="11">
        <v>63525</v>
      </c>
      <c r="F94" s="11">
        <v>6496977</v>
      </c>
      <c r="G94" s="11">
        <v>154585</v>
      </c>
      <c r="H94" s="11">
        <f t="shared" si="3"/>
        <v>6969328</v>
      </c>
    </row>
    <row r="95" spans="1:8" x14ac:dyDescent="0.35">
      <c r="A95" s="7">
        <v>43009</v>
      </c>
      <c r="B95" s="11">
        <v>34266</v>
      </c>
      <c r="C95" s="11">
        <v>63863</v>
      </c>
      <c r="D95" s="11">
        <v>398</v>
      </c>
      <c r="E95" s="11">
        <v>69932</v>
      </c>
      <c r="F95" s="11">
        <v>5990053</v>
      </c>
      <c r="G95" s="11">
        <v>27656</v>
      </c>
      <c r="H95" s="11">
        <f t="shared" si="3"/>
        <v>6186168</v>
      </c>
    </row>
    <row r="96" spans="1:8" x14ac:dyDescent="0.35">
      <c r="A96" s="55">
        <v>43040</v>
      </c>
      <c r="B96" s="67">
        <v>46243</v>
      </c>
      <c r="C96" s="67">
        <v>50489</v>
      </c>
      <c r="D96" s="67">
        <v>21856</v>
      </c>
      <c r="E96" s="67">
        <v>71020</v>
      </c>
      <c r="F96" s="67">
        <v>6537044</v>
      </c>
      <c r="G96" s="67">
        <v>30739</v>
      </c>
      <c r="H96" s="67">
        <f t="shared" si="3"/>
        <v>6757391</v>
      </c>
    </row>
    <row r="97" spans="1:8" ht="15" thickBot="1" x14ac:dyDescent="0.4">
      <c r="A97" s="15">
        <v>43070</v>
      </c>
      <c r="B97" s="99">
        <v>39075.519999999997</v>
      </c>
      <c r="C97" s="99">
        <v>36117</v>
      </c>
      <c r="D97" s="99">
        <v>107192.55</v>
      </c>
      <c r="E97" s="99">
        <v>83286.100000000006</v>
      </c>
      <c r="F97" s="99">
        <v>11118035.66</v>
      </c>
      <c r="G97" s="99">
        <f>971.92+3450+29181</f>
        <v>33602.92</v>
      </c>
      <c r="H97" s="54">
        <f t="shared" si="3"/>
        <v>11417309.75</v>
      </c>
    </row>
    <row r="98" spans="1:8" x14ac:dyDescent="0.35">
      <c r="A98" s="42">
        <v>43101</v>
      </c>
      <c r="B98" s="101">
        <v>28828.26</v>
      </c>
      <c r="C98" s="101">
        <v>43289</v>
      </c>
      <c r="D98" s="101">
        <v>2279.9</v>
      </c>
      <c r="E98" s="101">
        <v>65496.05</v>
      </c>
      <c r="F98" s="101">
        <v>6539035.3799999999</v>
      </c>
      <c r="G98" s="101">
        <v>33178.5</v>
      </c>
      <c r="H98" s="37">
        <f t="shared" si="3"/>
        <v>6712107.0899999999</v>
      </c>
    </row>
    <row r="99" spans="1:8" x14ac:dyDescent="0.35">
      <c r="A99" s="7">
        <v>43132</v>
      </c>
      <c r="B99" s="100">
        <v>48762.63</v>
      </c>
      <c r="C99" s="100">
        <v>34607</v>
      </c>
      <c r="D99" s="100">
        <v>25886.11</v>
      </c>
      <c r="E99" s="100">
        <v>114079.69</v>
      </c>
      <c r="F99" s="100">
        <v>7538206.2000000002</v>
      </c>
      <c r="G99" s="100">
        <v>25405.58</v>
      </c>
      <c r="H99" s="11">
        <f t="shared" si="3"/>
        <v>7786947.21</v>
      </c>
    </row>
    <row r="100" spans="1:8" x14ac:dyDescent="0.35">
      <c r="A100" s="7">
        <v>43160</v>
      </c>
      <c r="B100" s="100">
        <v>35538.6</v>
      </c>
      <c r="C100" s="100">
        <v>58022.6</v>
      </c>
      <c r="D100" s="100">
        <v>37234.14</v>
      </c>
      <c r="E100" s="100">
        <v>251493.18</v>
      </c>
      <c r="F100" s="100">
        <v>8722774.8200000003</v>
      </c>
      <c r="G100" s="100">
        <v>66166.679999999993</v>
      </c>
      <c r="H100" s="11">
        <f t="shared" si="3"/>
        <v>9171230.0199999996</v>
      </c>
    </row>
    <row r="101" spans="1:8" x14ac:dyDescent="0.35">
      <c r="A101" s="7">
        <v>43191</v>
      </c>
      <c r="B101" s="100">
        <v>30305.31</v>
      </c>
      <c r="C101" s="100">
        <v>19415</v>
      </c>
      <c r="D101" s="100"/>
      <c r="E101" s="100">
        <v>198652.12</v>
      </c>
      <c r="F101" s="100">
        <v>6192594.3399999999</v>
      </c>
      <c r="G101" s="100">
        <v>90315.89</v>
      </c>
      <c r="H101" s="11">
        <v>6531282.6599999992</v>
      </c>
    </row>
    <row r="102" spans="1:8" x14ac:dyDescent="0.35">
      <c r="A102" s="7">
        <v>43221</v>
      </c>
      <c r="B102" s="100">
        <v>39895.07</v>
      </c>
      <c r="C102" s="100">
        <v>71527.5</v>
      </c>
      <c r="D102" s="100">
        <v>19700.560000000001</v>
      </c>
      <c r="E102" s="100">
        <v>233001.35</v>
      </c>
      <c r="F102" s="100">
        <v>7681661.5800000001</v>
      </c>
      <c r="G102" s="100">
        <v>55406.13</v>
      </c>
      <c r="H102" s="11">
        <v>8101192.1900000004</v>
      </c>
    </row>
    <row r="103" spans="1:8" x14ac:dyDescent="0.35">
      <c r="A103" s="7">
        <v>43252</v>
      </c>
      <c r="B103" s="100">
        <v>52460.39</v>
      </c>
      <c r="C103" s="100">
        <v>41628</v>
      </c>
      <c r="D103" s="100">
        <v>327288.38</v>
      </c>
      <c r="E103" s="100">
        <v>331175.05</v>
      </c>
      <c r="F103" s="100">
        <v>6841073.0300000003</v>
      </c>
      <c r="G103" s="100">
        <v>58218.05</v>
      </c>
      <c r="H103" s="11">
        <f t="shared" si="3"/>
        <v>7651842.9000000004</v>
      </c>
    </row>
    <row r="104" spans="1:8" x14ac:dyDescent="0.35">
      <c r="A104" s="7">
        <v>43282</v>
      </c>
      <c r="B104" s="100">
        <v>56202.32</v>
      </c>
      <c r="C104" s="100">
        <v>39645</v>
      </c>
      <c r="D104" s="100">
        <v>79670.58</v>
      </c>
      <c r="E104" s="100">
        <v>29204.82</v>
      </c>
      <c r="F104" s="100">
        <v>6692788.8399999999</v>
      </c>
      <c r="G104" s="100">
        <v>38227.25</v>
      </c>
      <c r="H104" s="11">
        <f t="shared" si="3"/>
        <v>6935738.8099999996</v>
      </c>
    </row>
    <row r="105" spans="1:8" x14ac:dyDescent="0.35">
      <c r="A105" s="7">
        <v>43313</v>
      </c>
      <c r="B105" s="100">
        <v>63461.59</v>
      </c>
      <c r="C105" s="100">
        <v>39237</v>
      </c>
      <c r="D105" s="100">
        <v>28873.5</v>
      </c>
      <c r="E105" s="100">
        <v>44059.15</v>
      </c>
      <c r="F105" s="100">
        <v>6722063.25</v>
      </c>
      <c r="G105" s="100">
        <v>47654</v>
      </c>
      <c r="H105" s="11">
        <v>6945348.4900000002</v>
      </c>
    </row>
    <row r="106" spans="1:8" x14ac:dyDescent="0.35">
      <c r="A106" s="7">
        <v>43344</v>
      </c>
      <c r="B106" s="100">
        <v>51076.69</v>
      </c>
      <c r="C106" s="100">
        <v>14072</v>
      </c>
      <c r="D106" s="100">
        <v>89483.87</v>
      </c>
      <c r="E106" s="100">
        <v>135947.85</v>
      </c>
      <c r="F106" s="100">
        <v>7156878.6100000003</v>
      </c>
      <c r="G106" s="100">
        <v>149780.78</v>
      </c>
      <c r="H106" s="11">
        <f t="shared" si="3"/>
        <v>7597239.8000000007</v>
      </c>
    </row>
    <row r="107" spans="1:8" x14ac:dyDescent="0.35">
      <c r="A107" s="7">
        <v>43374</v>
      </c>
      <c r="B107" s="100">
        <v>57269.87</v>
      </c>
      <c r="C107" s="100">
        <v>18971</v>
      </c>
      <c r="D107" s="100">
        <v>23284.3</v>
      </c>
      <c r="E107" s="100">
        <v>429589.59</v>
      </c>
      <c r="F107" s="100">
        <v>8147125.9299999997</v>
      </c>
      <c r="G107" s="100">
        <v>17466.25</v>
      </c>
      <c r="H107" s="11">
        <f t="shared" si="3"/>
        <v>8693706.9399999995</v>
      </c>
    </row>
    <row r="108" spans="1:8" x14ac:dyDescent="0.35">
      <c r="A108" s="7">
        <v>43405</v>
      </c>
      <c r="B108" s="100">
        <v>92224.89</v>
      </c>
      <c r="C108" s="100">
        <v>36474</v>
      </c>
      <c r="D108" s="100">
        <v>7823.5</v>
      </c>
      <c r="E108" s="100">
        <v>24888.32</v>
      </c>
      <c r="F108" s="100">
        <v>7534096.8399999999</v>
      </c>
      <c r="G108" s="100">
        <v>17921</v>
      </c>
      <c r="H108" s="11">
        <f t="shared" si="3"/>
        <v>7713428.5499999998</v>
      </c>
    </row>
    <row r="109" spans="1:8" ht="15" thickBot="1" x14ac:dyDescent="0.4">
      <c r="A109" s="15">
        <v>43435</v>
      </c>
      <c r="B109" s="99">
        <v>39960.76</v>
      </c>
      <c r="C109" s="99">
        <v>404985.93</v>
      </c>
      <c r="D109" s="99">
        <v>67648.179999999993</v>
      </c>
      <c r="E109" s="99">
        <v>86870.23</v>
      </c>
      <c r="F109" s="99">
        <v>9802238.5099999998</v>
      </c>
      <c r="G109" s="99">
        <v>22512.53</v>
      </c>
      <c r="H109" s="54">
        <f t="shared" si="3"/>
        <v>10424216.139999999</v>
      </c>
    </row>
    <row r="110" spans="1:8" x14ac:dyDescent="0.35">
      <c r="A110" s="7">
        <v>43484</v>
      </c>
      <c r="B110" s="11">
        <v>67200.28</v>
      </c>
      <c r="C110" s="9">
        <v>35732.199999999997</v>
      </c>
      <c r="D110" s="10"/>
      <c r="E110" s="10">
        <v>70239.100000000006</v>
      </c>
      <c r="F110" s="10">
        <v>5368319</v>
      </c>
      <c r="G110" s="10">
        <v>44627</v>
      </c>
      <c r="H110" s="70">
        <f>SUM(B110:G110)</f>
        <v>5586117.5800000001</v>
      </c>
    </row>
    <row r="111" spans="1:8" x14ac:dyDescent="0.35">
      <c r="A111" s="7">
        <v>43515</v>
      </c>
      <c r="B111" s="11">
        <v>40322.300000000003</v>
      </c>
      <c r="C111" s="9">
        <v>74558.679999999993</v>
      </c>
      <c r="D111" s="10">
        <v>45300.63</v>
      </c>
      <c r="E111" s="10">
        <v>33823.39</v>
      </c>
      <c r="F111" s="10">
        <v>6645068.9000000004</v>
      </c>
      <c r="G111" s="10">
        <v>30248.5</v>
      </c>
      <c r="H111" s="11">
        <v>6869322.4000000004</v>
      </c>
    </row>
    <row r="112" spans="1:8" x14ac:dyDescent="0.35">
      <c r="A112" s="7">
        <v>43543</v>
      </c>
      <c r="B112" s="11">
        <v>38381.65</v>
      </c>
      <c r="C112" s="9">
        <v>31381.96</v>
      </c>
      <c r="D112" s="10">
        <v>7743.24</v>
      </c>
      <c r="E112" s="10">
        <v>12045.07</v>
      </c>
      <c r="F112" s="10">
        <v>7605408.6600000001</v>
      </c>
      <c r="G112" s="10">
        <v>232661</v>
      </c>
      <c r="H112" s="11">
        <v>7927621.5800000001</v>
      </c>
    </row>
    <row r="113" spans="1:8" x14ac:dyDescent="0.35">
      <c r="A113" s="7">
        <v>43574</v>
      </c>
      <c r="B113" s="100">
        <v>49284.63</v>
      </c>
      <c r="C113" s="100">
        <v>45337</v>
      </c>
      <c r="D113" s="100">
        <v>1512.75</v>
      </c>
      <c r="E113" s="100">
        <v>17211.97</v>
      </c>
      <c r="F113" s="100">
        <v>6911007.5800000001</v>
      </c>
      <c r="G113" s="100">
        <v>30916</v>
      </c>
      <c r="H113" s="11">
        <f t="shared" ref="H113:H124" si="4">SUM(B113:G113)</f>
        <v>7055269.9299999997</v>
      </c>
    </row>
    <row r="114" spans="1:8" x14ac:dyDescent="0.35">
      <c r="A114" s="7">
        <v>43604</v>
      </c>
      <c r="B114" s="11">
        <v>53788.19</v>
      </c>
      <c r="C114" s="9">
        <v>26777</v>
      </c>
      <c r="D114" s="10">
        <v>163086.17000000001</v>
      </c>
      <c r="E114" s="10">
        <v>65803.13</v>
      </c>
      <c r="F114" s="10">
        <v>6963268.0199999996</v>
      </c>
      <c r="G114" s="10">
        <f>4475.65+30453.13+26993.5</f>
        <v>61922.28</v>
      </c>
      <c r="H114" s="11">
        <f t="shared" si="4"/>
        <v>7334644.79</v>
      </c>
    </row>
    <row r="115" spans="1:8" x14ac:dyDescent="0.35">
      <c r="A115" s="7">
        <v>43635</v>
      </c>
      <c r="B115" s="11">
        <v>59314.09</v>
      </c>
      <c r="C115" s="9">
        <v>32465</v>
      </c>
      <c r="D115" s="10">
        <v>1623.13</v>
      </c>
      <c r="E115" s="10">
        <v>273886.76</v>
      </c>
      <c r="F115" s="10">
        <v>5791680.2699999996</v>
      </c>
      <c r="G115" s="10">
        <f>4430.65+1801.75+29889.5</f>
        <v>36121.9</v>
      </c>
      <c r="H115" s="11">
        <f t="shared" si="4"/>
        <v>6195091.1500000004</v>
      </c>
    </row>
    <row r="116" spans="1:8" x14ac:dyDescent="0.35">
      <c r="A116" s="7">
        <v>43665</v>
      </c>
      <c r="B116" s="100">
        <v>40576.03</v>
      </c>
      <c r="C116" s="100">
        <v>50865</v>
      </c>
      <c r="D116" s="100">
        <v>119289.2</v>
      </c>
      <c r="E116" s="100">
        <v>103647.56</v>
      </c>
      <c r="F116" s="100">
        <v>6370673.1699999999</v>
      </c>
      <c r="G116" s="100">
        <f>502.82+40893.43</f>
        <v>41396.25</v>
      </c>
      <c r="H116" s="11">
        <f t="shared" si="4"/>
        <v>6726447.21</v>
      </c>
    </row>
    <row r="117" spans="1:8" x14ac:dyDescent="0.35">
      <c r="A117" s="7">
        <v>43696</v>
      </c>
      <c r="B117" s="100">
        <v>64247.28</v>
      </c>
      <c r="C117" s="100">
        <v>35072</v>
      </c>
      <c r="D117" s="100">
        <v>144173.87</v>
      </c>
      <c r="E117" s="100">
        <v>19397.28</v>
      </c>
      <c r="F117" s="100">
        <v>6040533.5800000001</v>
      </c>
      <c r="G117" s="100">
        <f>659.52+51813.43</f>
        <v>52472.95</v>
      </c>
      <c r="H117" s="11">
        <f t="shared" si="4"/>
        <v>6355896.96</v>
      </c>
    </row>
    <row r="118" spans="1:8" x14ac:dyDescent="0.35">
      <c r="A118" s="7">
        <v>43727</v>
      </c>
      <c r="B118" s="11">
        <v>59729.4</v>
      </c>
      <c r="C118" s="9">
        <v>47806</v>
      </c>
      <c r="D118" s="10">
        <v>15837.74</v>
      </c>
      <c r="E118" s="10">
        <v>96554.78</v>
      </c>
      <c r="F118" s="10">
        <v>7197329.6600000001</v>
      </c>
      <c r="G118" s="10">
        <v>53686.86</v>
      </c>
      <c r="H118" s="11">
        <f t="shared" si="4"/>
        <v>7470944.4400000004</v>
      </c>
    </row>
    <row r="119" spans="1:8" x14ac:dyDescent="0.35">
      <c r="A119" s="7">
        <v>43757</v>
      </c>
      <c r="B119" s="11">
        <v>57643.96</v>
      </c>
      <c r="C119" s="9">
        <v>26406</v>
      </c>
      <c r="D119" s="10">
        <v>107915.86</v>
      </c>
      <c r="E119" s="10">
        <v>80764.58</v>
      </c>
      <c r="F119" s="10">
        <v>6223044.2000000002</v>
      </c>
      <c r="G119" s="10">
        <v>86289.599999999991</v>
      </c>
      <c r="H119" s="11">
        <f t="shared" si="4"/>
        <v>6582064.2000000002</v>
      </c>
    </row>
    <row r="120" spans="1:8" x14ac:dyDescent="0.35">
      <c r="A120" s="7">
        <v>43788</v>
      </c>
      <c r="B120" s="11">
        <v>38706.42</v>
      </c>
      <c r="C120" s="9">
        <v>32181</v>
      </c>
      <c r="D120" s="10">
        <v>99529.26</v>
      </c>
      <c r="E120" s="10">
        <v>46679</v>
      </c>
      <c r="F120" s="10">
        <v>6938121.6900000004</v>
      </c>
      <c r="G120" s="10">
        <v>31176.71</v>
      </c>
      <c r="H120" s="11">
        <f t="shared" si="4"/>
        <v>7186394.0800000001</v>
      </c>
    </row>
    <row r="121" spans="1:8" ht="15" thickBot="1" x14ac:dyDescent="0.4">
      <c r="A121" s="15">
        <v>43818</v>
      </c>
      <c r="B121" s="54">
        <v>49430.06</v>
      </c>
      <c r="C121" s="73">
        <v>38593</v>
      </c>
      <c r="D121" s="74">
        <v>45787.65</v>
      </c>
      <c r="E121" s="74">
        <v>33791.94</v>
      </c>
      <c r="F121" s="74">
        <v>8548342.7599999998</v>
      </c>
      <c r="G121" s="74">
        <f>30694.04+1460</f>
        <v>32154.04</v>
      </c>
      <c r="H121" s="54">
        <f t="shared" si="4"/>
        <v>8748099.4499999993</v>
      </c>
    </row>
    <row r="122" spans="1:8" x14ac:dyDescent="0.35">
      <c r="A122" s="53">
        <v>43849</v>
      </c>
      <c r="B122" s="70">
        <v>427134.12</v>
      </c>
      <c r="C122" s="70">
        <v>354573.25</v>
      </c>
      <c r="D122" s="70">
        <v>255</v>
      </c>
      <c r="E122" s="70">
        <v>87226.59</v>
      </c>
      <c r="F122" s="70">
        <v>5563346.1600000001</v>
      </c>
      <c r="G122" s="70">
        <v>50052.240000000005</v>
      </c>
      <c r="H122" s="11">
        <f t="shared" si="4"/>
        <v>6482587.3600000003</v>
      </c>
    </row>
    <row r="123" spans="1:8" x14ac:dyDescent="0.35">
      <c r="A123" s="7">
        <v>43880</v>
      </c>
      <c r="B123" s="11">
        <v>78675.149999999994</v>
      </c>
      <c r="C123" s="11">
        <v>347220.25</v>
      </c>
      <c r="D123" s="11"/>
      <c r="E123" s="11">
        <v>163632.06</v>
      </c>
      <c r="F123" s="11">
        <v>5684554.9400000004</v>
      </c>
      <c r="G123" s="11">
        <v>37284</v>
      </c>
      <c r="H123" s="11">
        <f t="shared" si="4"/>
        <v>6311366.4000000004</v>
      </c>
    </row>
    <row r="124" spans="1:8" x14ac:dyDescent="0.35">
      <c r="A124" s="7">
        <v>43909</v>
      </c>
      <c r="B124" s="11">
        <v>81818.570000000007</v>
      </c>
      <c r="C124" s="11">
        <v>-200698.5</v>
      </c>
      <c r="D124" s="11">
        <v>213465.66</v>
      </c>
      <c r="E124" s="11">
        <v>47621.66</v>
      </c>
      <c r="F124" s="11">
        <v>5927626.0300000003</v>
      </c>
      <c r="G124" s="11">
        <v>36304.14</v>
      </c>
      <c r="H124" s="11">
        <f t="shared" si="4"/>
        <v>6106137.5599999996</v>
      </c>
    </row>
    <row r="125" spans="1:8" x14ac:dyDescent="0.35">
      <c r="A125" s="7">
        <v>43940</v>
      </c>
      <c r="B125" s="11">
        <v>58889.53</v>
      </c>
      <c r="C125" s="11">
        <v>102016</v>
      </c>
      <c r="D125" s="11">
        <v>25305.42</v>
      </c>
      <c r="E125" s="11">
        <v>73984.87</v>
      </c>
      <c r="F125" s="11">
        <v>4869322.2699999996</v>
      </c>
      <c r="G125" s="11">
        <v>33869.5</v>
      </c>
      <c r="H125" s="11">
        <f t="shared" ref="H125:H133" si="5">SUM(B125:G125)</f>
        <v>5163387.59</v>
      </c>
    </row>
    <row r="126" spans="1:8" x14ac:dyDescent="0.35">
      <c r="A126" s="7">
        <v>43970</v>
      </c>
      <c r="B126" s="11">
        <v>84649.52</v>
      </c>
      <c r="C126" s="11">
        <v>23072</v>
      </c>
      <c r="D126" s="11"/>
      <c r="E126" s="11">
        <v>19358.52</v>
      </c>
      <c r="F126" s="11">
        <v>6830583.29</v>
      </c>
      <c r="G126" s="11">
        <v>32755</v>
      </c>
      <c r="H126" s="11">
        <f t="shared" si="5"/>
        <v>6990418.3300000001</v>
      </c>
    </row>
    <row r="127" spans="1:8" x14ac:dyDescent="0.35">
      <c r="A127" s="7">
        <v>44001</v>
      </c>
      <c r="B127" s="11">
        <v>80639.399999999994</v>
      </c>
      <c r="C127" s="11"/>
      <c r="D127" s="11">
        <v>29323.9</v>
      </c>
      <c r="E127" s="11">
        <v>45690.7</v>
      </c>
      <c r="F127" s="11">
        <v>6687352.2000000002</v>
      </c>
      <c r="G127" s="11">
        <v>54137.4</v>
      </c>
      <c r="H127" s="11">
        <f t="shared" si="5"/>
        <v>6897143.6000000006</v>
      </c>
    </row>
    <row r="128" spans="1:8" x14ac:dyDescent="0.35">
      <c r="A128" s="7">
        <v>44031</v>
      </c>
      <c r="B128" s="11">
        <v>85596.94</v>
      </c>
      <c r="C128" s="11">
        <v>32919.5</v>
      </c>
      <c r="D128" s="11">
        <v>1446.2</v>
      </c>
      <c r="E128" s="11">
        <v>23474.86</v>
      </c>
      <c r="F128" s="11">
        <v>6451125.6900000004</v>
      </c>
      <c r="G128" s="11">
        <v>65443.5</v>
      </c>
      <c r="H128" s="11">
        <f t="shared" si="5"/>
        <v>6660006.6900000004</v>
      </c>
    </row>
    <row r="129" spans="1:8" x14ac:dyDescent="0.35">
      <c r="A129" s="7">
        <v>44062</v>
      </c>
      <c r="B129" s="11">
        <v>80956.759999999995</v>
      </c>
      <c r="C129" s="11">
        <v>9154.5499999999993</v>
      </c>
      <c r="D129" s="11">
        <v>147803.45000000001</v>
      </c>
      <c r="E129" s="11">
        <v>317252.38</v>
      </c>
      <c r="F129" s="11">
        <v>5638903.8600000003</v>
      </c>
      <c r="G129" s="11">
        <v>30886</v>
      </c>
      <c r="H129" s="11">
        <f t="shared" si="5"/>
        <v>6224957</v>
      </c>
    </row>
    <row r="130" spans="1:8" x14ac:dyDescent="0.35">
      <c r="A130" s="7">
        <v>44093</v>
      </c>
      <c r="B130" s="11">
        <v>105125.75999999999</v>
      </c>
      <c r="C130" s="11">
        <v>28036</v>
      </c>
      <c r="D130" s="11">
        <v>81158.73</v>
      </c>
      <c r="E130" s="11">
        <v>660510.15</v>
      </c>
      <c r="F130" s="11">
        <v>7442874.5199999996</v>
      </c>
      <c r="G130" s="11">
        <v>54077.39</v>
      </c>
      <c r="H130" s="11">
        <f t="shared" si="5"/>
        <v>8371782.5499999989</v>
      </c>
    </row>
    <row r="131" spans="1:8" x14ac:dyDescent="0.35">
      <c r="A131" s="7">
        <v>44123</v>
      </c>
      <c r="B131" s="11">
        <v>78063.759999999995</v>
      </c>
      <c r="C131" s="11">
        <v>36941</v>
      </c>
      <c r="D131" s="11">
        <v>54</v>
      </c>
      <c r="E131" s="11">
        <v>5861733.96</v>
      </c>
      <c r="F131" s="11">
        <v>7279701.3099999996</v>
      </c>
      <c r="G131" s="11">
        <v>33989.5</v>
      </c>
      <c r="H131" s="11">
        <f t="shared" si="5"/>
        <v>13290483.529999999</v>
      </c>
    </row>
    <row r="132" spans="1:8" x14ac:dyDescent="0.35">
      <c r="A132" s="7">
        <v>44154</v>
      </c>
      <c r="B132" s="11">
        <v>58407.57</v>
      </c>
      <c r="C132" s="11">
        <v>20110</v>
      </c>
      <c r="D132" s="11">
        <v>1166.5899999999999</v>
      </c>
      <c r="E132" s="11">
        <v>2805705.79</v>
      </c>
      <c r="F132" s="11">
        <v>5525617.5999999996</v>
      </c>
      <c r="G132" s="11">
        <v>28049.25</v>
      </c>
      <c r="H132" s="11">
        <f t="shared" si="5"/>
        <v>8439056.8000000007</v>
      </c>
    </row>
    <row r="133" spans="1:8" ht="15" thickBot="1" x14ac:dyDescent="0.4">
      <c r="A133" s="15">
        <v>44184</v>
      </c>
      <c r="B133" s="54">
        <v>59759.57</v>
      </c>
      <c r="C133" s="54">
        <v>32443</v>
      </c>
      <c r="D133" s="54">
        <v>164587.97</v>
      </c>
      <c r="E133" s="54">
        <v>550075.6</v>
      </c>
      <c r="F133" s="54">
        <v>9071688.0399999991</v>
      </c>
      <c r="G133" s="54">
        <v>56746.5</v>
      </c>
      <c r="H133" s="54">
        <f t="shared" si="5"/>
        <v>9935300.6799999997</v>
      </c>
    </row>
    <row r="134" spans="1:8" x14ac:dyDescent="0.35">
      <c r="A134" s="53">
        <v>44215</v>
      </c>
      <c r="B134" s="132">
        <v>51960.05</v>
      </c>
      <c r="C134" s="132">
        <v>69301</v>
      </c>
      <c r="D134" s="132">
        <v>44894.19</v>
      </c>
      <c r="E134" s="132">
        <v>8240754.7300000004</v>
      </c>
      <c r="F134" s="132">
        <v>2003309.06</v>
      </c>
      <c r="G134" s="132">
        <f>180+46612</f>
        <v>46792</v>
      </c>
      <c r="H134" s="70">
        <f t="shared" ref="H134:H136" si="6">SUM(B134:G134)</f>
        <v>10457011.030000001</v>
      </c>
    </row>
    <row r="135" spans="1:8" x14ac:dyDescent="0.35">
      <c r="A135" s="7">
        <v>44246</v>
      </c>
      <c r="B135" s="11">
        <v>43801.13</v>
      </c>
      <c r="C135" s="11">
        <v>149167.75</v>
      </c>
      <c r="D135" s="11">
        <v>85.25</v>
      </c>
      <c r="E135" s="11">
        <v>174118</v>
      </c>
      <c r="F135" s="11">
        <v>10047128.640000001</v>
      </c>
      <c r="G135" s="11">
        <v>18474.05</v>
      </c>
      <c r="H135" s="11">
        <f t="shared" si="6"/>
        <v>10432774.820000002</v>
      </c>
    </row>
    <row r="136" spans="1:8" x14ac:dyDescent="0.35">
      <c r="A136" s="7">
        <v>44274</v>
      </c>
      <c r="B136" s="11">
        <v>58743.09</v>
      </c>
      <c r="C136" s="11">
        <v>229177.25</v>
      </c>
      <c r="D136" s="11">
        <v>1377</v>
      </c>
      <c r="E136" s="11">
        <v>478704.71</v>
      </c>
      <c r="F136" s="11">
        <v>8020164.9900000002</v>
      </c>
      <c r="G136" s="11">
        <v>62596.31</v>
      </c>
      <c r="H136" s="11">
        <f t="shared" si="6"/>
        <v>8850763.3500000015</v>
      </c>
    </row>
    <row r="137" spans="1:8" x14ac:dyDescent="0.35">
      <c r="A137" s="7">
        <v>44305</v>
      </c>
      <c r="B137" s="11">
        <v>110056.24</v>
      </c>
      <c r="C137" s="11">
        <v>37009.75</v>
      </c>
      <c r="D137" s="11">
        <v>85358.69</v>
      </c>
      <c r="E137" s="11">
        <v>48356.5</v>
      </c>
      <c r="F137" s="11">
        <v>8144856.7300000004</v>
      </c>
      <c r="G137" s="11">
        <v>59418.78</v>
      </c>
      <c r="H137" s="11">
        <f t="shared" ref="H137:H148" si="7">SUM(B137:G137)</f>
        <v>8485056.6899999995</v>
      </c>
    </row>
    <row r="138" spans="1:8" x14ac:dyDescent="0.35">
      <c r="A138" s="7">
        <v>44335</v>
      </c>
      <c r="B138" s="11">
        <v>61597.48</v>
      </c>
      <c r="C138" s="11">
        <v>83859.38</v>
      </c>
      <c r="D138" s="11">
        <v>3181.5</v>
      </c>
      <c r="E138" s="11">
        <v>55865.16</v>
      </c>
      <c r="F138" s="11">
        <v>5596575.5499999998</v>
      </c>
      <c r="G138" s="11">
        <v>32053.07</v>
      </c>
      <c r="H138" s="11">
        <v>5833132.1400000006</v>
      </c>
    </row>
    <row r="139" spans="1:8" x14ac:dyDescent="0.35">
      <c r="A139" s="7">
        <v>44366</v>
      </c>
      <c r="B139" s="11">
        <v>82012.929999999993</v>
      </c>
      <c r="C139" s="11">
        <v>107135.4</v>
      </c>
      <c r="D139" s="11">
        <v>44754.31</v>
      </c>
      <c r="E139" s="11">
        <v>410139.95</v>
      </c>
      <c r="F139" s="11">
        <v>8269129.54</v>
      </c>
      <c r="G139" s="11">
        <v>28524.49</v>
      </c>
      <c r="H139" s="11">
        <f t="shared" si="7"/>
        <v>8941696.620000001</v>
      </c>
    </row>
    <row r="140" spans="1:8" x14ac:dyDescent="0.35">
      <c r="A140" s="7">
        <v>44396</v>
      </c>
      <c r="B140" s="11">
        <v>67256.160000000003</v>
      </c>
      <c r="C140" s="11">
        <v>105026</v>
      </c>
      <c r="D140" s="11">
        <v>82.5</v>
      </c>
      <c r="E140" s="11">
        <v>156225.59</v>
      </c>
      <c r="F140" s="11">
        <v>6523553.8899999997</v>
      </c>
      <c r="G140" s="11">
        <v>56233.929999999993</v>
      </c>
      <c r="H140" s="11">
        <f t="shared" si="7"/>
        <v>6908378.0699999994</v>
      </c>
    </row>
    <row r="141" spans="1:8" x14ac:dyDescent="0.35">
      <c r="A141" s="7">
        <v>44427</v>
      </c>
      <c r="B141" s="11">
        <v>53434.559999999998</v>
      </c>
      <c r="C141" s="11">
        <v>85435.68</v>
      </c>
      <c r="D141" s="11">
        <v>61699.16</v>
      </c>
      <c r="E141" s="11">
        <v>278369.65999999997</v>
      </c>
      <c r="F141" s="11">
        <v>5590703.3700000001</v>
      </c>
      <c r="G141" s="11">
        <v>90222.1</v>
      </c>
      <c r="H141" s="11">
        <f t="shared" si="7"/>
        <v>6159864.5299999993</v>
      </c>
    </row>
    <row r="142" spans="1:8" x14ac:dyDescent="0.35">
      <c r="A142" s="7">
        <v>44458</v>
      </c>
      <c r="B142" s="11">
        <v>51879.73</v>
      </c>
      <c r="C142" s="11">
        <v>140678.17000000001</v>
      </c>
      <c r="D142" s="11">
        <v>73301.25</v>
      </c>
      <c r="E142" s="11">
        <v>280704.44</v>
      </c>
      <c r="F142" s="11">
        <v>7845395.1399999997</v>
      </c>
      <c r="G142" s="11">
        <v>77787.97</v>
      </c>
      <c r="H142" s="11">
        <f t="shared" si="7"/>
        <v>8469746.7000000011</v>
      </c>
    </row>
    <row r="143" spans="1:8" x14ac:dyDescent="0.35">
      <c r="A143" s="7">
        <v>44488</v>
      </c>
      <c r="B143" s="11">
        <v>53581.43</v>
      </c>
      <c r="C143" s="11">
        <v>647803.4</v>
      </c>
      <c r="D143" s="11">
        <v>61113.5</v>
      </c>
      <c r="E143" s="11">
        <v>31028.43</v>
      </c>
      <c r="F143" s="11">
        <v>6133523.9299999997</v>
      </c>
      <c r="G143" s="11">
        <v>34260.49</v>
      </c>
      <c r="H143" s="11">
        <f t="shared" si="7"/>
        <v>6961311.1799999997</v>
      </c>
    </row>
    <row r="144" spans="1:8" x14ac:dyDescent="0.35">
      <c r="A144" s="7">
        <v>44519</v>
      </c>
      <c r="B144" s="11">
        <v>45785.45</v>
      </c>
      <c r="C144" s="11">
        <v>277900</v>
      </c>
      <c r="D144" s="11">
        <v>8405.25</v>
      </c>
      <c r="E144" s="11">
        <v>117219.64</v>
      </c>
      <c r="F144" s="11">
        <v>7314911.1699999999</v>
      </c>
      <c r="G144" s="11">
        <v>34556</v>
      </c>
      <c r="H144" s="11">
        <f t="shared" si="7"/>
        <v>7798777.5099999998</v>
      </c>
    </row>
    <row r="145" spans="1:8" ht="15" thickBot="1" x14ac:dyDescent="0.4">
      <c r="A145" s="15">
        <v>44549</v>
      </c>
      <c r="B145" s="54">
        <v>60779.12</v>
      </c>
      <c r="C145" s="54">
        <v>173158</v>
      </c>
      <c r="D145" s="54">
        <v>144457.26999999999</v>
      </c>
      <c r="E145" s="54">
        <v>22102.3</v>
      </c>
      <c r="F145" s="54">
        <v>8066945.2800000003</v>
      </c>
      <c r="G145" s="54">
        <v>44411</v>
      </c>
      <c r="H145" s="54">
        <f t="shared" si="7"/>
        <v>8511852.9700000007</v>
      </c>
    </row>
    <row r="146" spans="1:8" x14ac:dyDescent="0.35">
      <c r="A146" s="53">
        <v>44583</v>
      </c>
      <c r="B146" s="132">
        <v>65155.12</v>
      </c>
      <c r="C146" s="132">
        <v>564787</v>
      </c>
      <c r="D146" s="132">
        <v>34213.25</v>
      </c>
      <c r="E146" s="132">
        <v>186197.78</v>
      </c>
      <c r="F146" s="132">
        <v>6751993.2300000004</v>
      </c>
      <c r="G146" s="132">
        <v>19930</v>
      </c>
      <c r="H146" s="70">
        <f t="shared" si="7"/>
        <v>7622276.3800000008</v>
      </c>
    </row>
    <row r="147" spans="1:8" x14ac:dyDescent="0.35">
      <c r="A147" s="7">
        <v>44614</v>
      </c>
      <c r="B147" s="11">
        <v>76347.350000000006</v>
      </c>
      <c r="C147" s="11">
        <v>265277.5</v>
      </c>
      <c r="D147" s="11">
        <v>85.25</v>
      </c>
      <c r="E147" s="11">
        <v>196289.57</v>
      </c>
      <c r="F147" s="11">
        <v>5856156.4400000004</v>
      </c>
      <c r="G147" s="11">
        <v>36949</v>
      </c>
      <c r="H147" s="11">
        <f t="shared" si="7"/>
        <v>6431105.1100000003</v>
      </c>
    </row>
    <row r="148" spans="1:8" x14ac:dyDescent="0.35">
      <c r="A148" s="7">
        <v>44642</v>
      </c>
      <c r="B148" s="11">
        <v>159775.76</v>
      </c>
      <c r="C148" s="11">
        <v>517552.75</v>
      </c>
      <c r="D148" s="11">
        <v>77</v>
      </c>
      <c r="E148" s="11">
        <v>221845.38</v>
      </c>
      <c r="F148" s="11">
        <v>6975204.0099999998</v>
      </c>
      <c r="G148" s="11">
        <v>38242.400000000001</v>
      </c>
      <c r="H148" s="11">
        <f t="shared" si="7"/>
        <v>7912697.2999999998</v>
      </c>
    </row>
    <row r="149" spans="1:8" x14ac:dyDescent="0.35">
      <c r="A149" s="7">
        <v>44673</v>
      </c>
      <c r="B149" s="11">
        <v>103851</v>
      </c>
      <c r="C149" s="11">
        <v>320144</v>
      </c>
      <c r="D149" s="11">
        <v>6615</v>
      </c>
      <c r="E149" s="11">
        <v>134705</v>
      </c>
      <c r="F149" s="11">
        <v>5858219</v>
      </c>
      <c r="G149" s="11">
        <v>29112</v>
      </c>
      <c r="H149" s="11">
        <f t="shared" ref="H149:H150" si="8">SUM(B149:G149)</f>
        <v>6452646</v>
      </c>
    </row>
    <row r="150" spans="1:8" x14ac:dyDescent="0.35">
      <c r="A150" s="7">
        <v>44703</v>
      </c>
      <c r="B150" s="11">
        <v>120948</v>
      </c>
      <c r="C150" s="11">
        <v>267256.26</v>
      </c>
      <c r="D150" s="11">
        <v>1285.5</v>
      </c>
      <c r="E150" s="11">
        <v>244215.79</v>
      </c>
      <c r="F150" s="11">
        <v>5991692</v>
      </c>
      <c r="G150" s="11">
        <v>22953.69</v>
      </c>
      <c r="H150" s="11">
        <f t="shared" si="8"/>
        <v>6648351.2400000002</v>
      </c>
    </row>
    <row r="151" spans="1:8" x14ac:dyDescent="0.35">
      <c r="A151" s="7">
        <v>44734</v>
      </c>
      <c r="B151" s="11">
        <v>209098</v>
      </c>
      <c r="C151" s="11">
        <v>83346</v>
      </c>
      <c r="D151" s="11">
        <v>2075</v>
      </c>
      <c r="E151" s="11">
        <v>171732</v>
      </c>
      <c r="F151" s="11">
        <v>8508283</v>
      </c>
      <c r="G151" s="11">
        <v>44266</v>
      </c>
      <c r="H151" s="11">
        <f>SUM(B151:G151)</f>
        <v>9018800</v>
      </c>
    </row>
    <row r="152" spans="1:8" x14ac:dyDescent="0.35">
      <c r="A152" s="7">
        <v>44764</v>
      </c>
      <c r="B152" s="11">
        <v>183172</v>
      </c>
      <c r="C152" s="11">
        <v>356315</v>
      </c>
      <c r="D152" s="11">
        <v>790</v>
      </c>
      <c r="E152" s="11">
        <v>254950</v>
      </c>
      <c r="F152" s="11">
        <v>5958724</v>
      </c>
      <c r="G152" s="11">
        <v>25527</v>
      </c>
      <c r="H152" s="11">
        <f>SUM(B152:G152)</f>
        <v>6779478</v>
      </c>
    </row>
    <row r="153" spans="1:8" x14ac:dyDescent="0.35">
      <c r="A153" s="7">
        <v>44795</v>
      </c>
      <c r="B153" s="11">
        <v>118395</v>
      </c>
      <c r="C153" s="11">
        <v>1552467</v>
      </c>
      <c r="D153" s="11">
        <v>9735</v>
      </c>
      <c r="E153" s="11">
        <v>1166310</v>
      </c>
      <c r="F153" s="11">
        <v>5690239</v>
      </c>
      <c r="G153" s="11">
        <v>175703</v>
      </c>
      <c r="H153" s="11">
        <f t="shared" ref="H153:H162" si="9">SUM(B153:G153)</f>
        <v>8712849</v>
      </c>
    </row>
    <row r="154" spans="1:8" x14ac:dyDescent="0.35">
      <c r="A154" s="7">
        <v>44826</v>
      </c>
      <c r="B154" s="11">
        <v>130233.91</v>
      </c>
      <c r="C154" s="11">
        <v>215812.75</v>
      </c>
      <c r="D154" s="11">
        <v>4287.25</v>
      </c>
      <c r="E154" s="11">
        <v>544186.48</v>
      </c>
      <c r="F154" s="11">
        <v>6299085.71</v>
      </c>
      <c r="G154" s="11">
        <v>85832.5</v>
      </c>
      <c r="H154" s="11">
        <f t="shared" si="9"/>
        <v>7279438.5999999996</v>
      </c>
    </row>
    <row r="155" spans="1:8" x14ac:dyDescent="0.35">
      <c r="A155" s="7">
        <v>44856</v>
      </c>
      <c r="B155" s="11">
        <v>211307</v>
      </c>
      <c r="C155" s="11">
        <v>106166</v>
      </c>
      <c r="D155" s="11">
        <v>14337</v>
      </c>
      <c r="E155" s="11">
        <v>486957</v>
      </c>
      <c r="F155" s="11">
        <v>6021309</v>
      </c>
      <c r="G155" s="11">
        <v>50346</v>
      </c>
      <c r="H155" s="11">
        <f t="shared" si="9"/>
        <v>6890422</v>
      </c>
    </row>
    <row r="156" spans="1:8" x14ac:dyDescent="0.35">
      <c r="A156" s="7">
        <v>44887</v>
      </c>
      <c r="B156" s="11">
        <v>111826</v>
      </c>
      <c r="C156" s="11">
        <v>1065802</v>
      </c>
      <c r="D156" s="11">
        <v>52562</v>
      </c>
      <c r="E156" s="11">
        <v>376664</v>
      </c>
      <c r="F156" s="11">
        <v>5695229</v>
      </c>
      <c r="G156" s="11">
        <v>796534</v>
      </c>
      <c r="H156" s="11">
        <f t="shared" si="9"/>
        <v>8098617</v>
      </c>
    </row>
    <row r="157" spans="1:8" ht="15" thickBot="1" x14ac:dyDescent="0.4">
      <c r="A157" s="15">
        <v>44917</v>
      </c>
      <c r="B157" s="54">
        <v>96614</v>
      </c>
      <c r="C157" s="54">
        <v>264550</v>
      </c>
      <c r="D157" s="54">
        <v>1569270</v>
      </c>
      <c r="E157" s="54">
        <v>935049</v>
      </c>
      <c r="F157" s="54">
        <v>8752472</v>
      </c>
      <c r="G157" s="54">
        <v>80775</v>
      </c>
      <c r="H157" s="54">
        <f t="shared" si="9"/>
        <v>11698730</v>
      </c>
    </row>
    <row r="158" spans="1:8" x14ac:dyDescent="0.35">
      <c r="A158" s="53">
        <v>44948</v>
      </c>
      <c r="B158" s="132">
        <v>162640</v>
      </c>
      <c r="C158" s="132">
        <v>818975</v>
      </c>
      <c r="D158" s="132">
        <v>57315</v>
      </c>
      <c r="E158" s="132">
        <v>322787</v>
      </c>
      <c r="F158" s="132">
        <v>5911011</v>
      </c>
      <c r="G158" s="132">
        <v>19843</v>
      </c>
      <c r="H158" s="70">
        <f t="shared" si="9"/>
        <v>7292571</v>
      </c>
    </row>
    <row r="159" spans="1:8" x14ac:dyDescent="0.35">
      <c r="A159" s="7">
        <v>44979</v>
      </c>
      <c r="B159" s="11">
        <v>134766</v>
      </c>
      <c r="C159" s="11">
        <v>674654</v>
      </c>
      <c r="D159" s="11">
        <v>5723</v>
      </c>
      <c r="E159" s="11">
        <v>52754</v>
      </c>
      <c r="F159" s="11">
        <v>6189460</v>
      </c>
      <c r="G159" s="11">
        <v>27630</v>
      </c>
      <c r="H159" s="11">
        <f t="shared" si="9"/>
        <v>7084987</v>
      </c>
    </row>
    <row r="160" spans="1:8" x14ac:dyDescent="0.35">
      <c r="A160" s="7">
        <v>45007</v>
      </c>
      <c r="B160" s="100">
        <v>228370.94</v>
      </c>
      <c r="C160" s="100">
        <v>502531.5</v>
      </c>
      <c r="D160" s="100">
        <v>213072.4</v>
      </c>
      <c r="E160" s="100">
        <v>191858.66</v>
      </c>
      <c r="F160" s="100">
        <v>7826321.96</v>
      </c>
      <c r="G160" s="122">
        <f>2250+56906.34</f>
        <v>59156.34</v>
      </c>
      <c r="H160" s="11">
        <f t="shared" si="9"/>
        <v>9021311.8000000007</v>
      </c>
    </row>
    <row r="161" spans="1:8" x14ac:dyDescent="0.35">
      <c r="A161" s="42">
        <v>45038</v>
      </c>
      <c r="B161" s="11">
        <v>110400</v>
      </c>
      <c r="C161" s="11">
        <v>592757</v>
      </c>
      <c r="D161" s="11">
        <v>11667</v>
      </c>
      <c r="E161" s="11">
        <v>88823</v>
      </c>
      <c r="F161" s="11">
        <v>6080305</v>
      </c>
      <c r="G161" s="11">
        <v>38888</v>
      </c>
      <c r="H161" s="11">
        <f t="shared" si="9"/>
        <v>6922840</v>
      </c>
    </row>
    <row r="162" spans="1:8" x14ac:dyDescent="0.35">
      <c r="A162" s="7">
        <v>45068</v>
      </c>
      <c r="B162" s="11">
        <v>148626</v>
      </c>
      <c r="C162" s="11">
        <v>1413899</v>
      </c>
      <c r="D162" s="11">
        <v>4759</v>
      </c>
      <c r="E162" s="11">
        <v>677256</v>
      </c>
      <c r="F162" s="11">
        <v>6447289</v>
      </c>
      <c r="G162" s="11">
        <v>48537</v>
      </c>
      <c r="H162" s="11">
        <f t="shared" si="9"/>
        <v>8740366</v>
      </c>
    </row>
    <row r="163" spans="1:8" x14ac:dyDescent="0.35">
      <c r="A163" s="7">
        <v>45099</v>
      </c>
      <c r="B163" s="11">
        <v>95778</v>
      </c>
      <c r="C163" s="11">
        <v>454531</v>
      </c>
      <c r="D163" s="11">
        <v>5506</v>
      </c>
      <c r="E163" s="11">
        <v>1017263</v>
      </c>
      <c r="F163" s="11">
        <v>7759762</v>
      </c>
      <c r="G163" s="11">
        <v>46881</v>
      </c>
      <c r="H163" s="11">
        <f>SUM(B163:G163)</f>
        <v>9379721</v>
      </c>
    </row>
    <row r="164" spans="1:8" x14ac:dyDescent="0.35">
      <c r="A164" s="42">
        <v>45129</v>
      </c>
      <c r="B164" s="11">
        <v>100806</v>
      </c>
      <c r="C164" s="11">
        <v>249419</v>
      </c>
      <c r="D164" s="11">
        <v>3337</v>
      </c>
      <c r="E164" s="11">
        <v>444544</v>
      </c>
      <c r="F164" s="11">
        <v>5838020</v>
      </c>
      <c r="G164" s="11">
        <v>43101</v>
      </c>
      <c r="H164" s="11">
        <f>SUM(B164:G164)</f>
        <v>6679227</v>
      </c>
    </row>
    <row r="165" spans="1:8" x14ac:dyDescent="0.35">
      <c r="A165" s="7">
        <v>45160</v>
      </c>
      <c r="B165" s="11">
        <v>113128</v>
      </c>
      <c r="C165" s="11">
        <v>741337</v>
      </c>
      <c r="D165" s="11">
        <v>17292</v>
      </c>
      <c r="E165" s="11">
        <v>449187</v>
      </c>
      <c r="F165" s="11">
        <v>5307959</v>
      </c>
      <c r="G165" s="11">
        <v>96249</v>
      </c>
      <c r="H165" s="11">
        <f t="shared" ref="H165:H180" si="10">SUM(B165:G165)</f>
        <v>6725152</v>
      </c>
    </row>
    <row r="166" spans="1:8" x14ac:dyDescent="0.35">
      <c r="A166" s="7">
        <v>45191</v>
      </c>
      <c r="B166" s="11">
        <v>109705</v>
      </c>
      <c r="C166" s="11">
        <v>388447</v>
      </c>
      <c r="D166" s="11">
        <v>6064</v>
      </c>
      <c r="E166" s="11">
        <v>518287</v>
      </c>
      <c r="F166" s="11">
        <v>7148466</v>
      </c>
      <c r="G166" s="11">
        <v>40808</v>
      </c>
      <c r="H166" s="11">
        <f t="shared" si="10"/>
        <v>8211777</v>
      </c>
    </row>
    <row r="167" spans="1:8" x14ac:dyDescent="0.35">
      <c r="A167" s="42">
        <v>45221</v>
      </c>
      <c r="B167" s="11">
        <v>131653</v>
      </c>
      <c r="C167" s="11">
        <v>859751</v>
      </c>
      <c r="D167" s="11">
        <v>4275</v>
      </c>
      <c r="E167" s="11">
        <v>86505</v>
      </c>
      <c r="F167" s="11">
        <v>6680512</v>
      </c>
      <c r="G167" s="11">
        <v>50004</v>
      </c>
      <c r="H167" s="11">
        <f t="shared" si="10"/>
        <v>7812700</v>
      </c>
    </row>
    <row r="168" spans="1:8" x14ac:dyDescent="0.35">
      <c r="A168" s="7">
        <v>45252</v>
      </c>
      <c r="B168" s="100">
        <v>112117.06</v>
      </c>
      <c r="C168" s="100">
        <v>194141</v>
      </c>
      <c r="D168" s="100">
        <v>3596.5</v>
      </c>
      <c r="E168" s="100">
        <v>126174.76</v>
      </c>
      <c r="F168" s="100">
        <v>6415757.9900000002</v>
      </c>
      <c r="G168" s="122">
        <v>57750</v>
      </c>
      <c r="H168" s="11">
        <f t="shared" si="10"/>
        <v>6909537.3100000005</v>
      </c>
    </row>
    <row r="169" spans="1:8" ht="15" thickBot="1" x14ac:dyDescent="0.4">
      <c r="A169" s="15">
        <v>45282</v>
      </c>
      <c r="B169" s="54">
        <v>241986.62</v>
      </c>
      <c r="C169" s="54">
        <v>683722.5</v>
      </c>
      <c r="D169" s="54">
        <v>4861</v>
      </c>
      <c r="E169" s="54">
        <v>67519.86</v>
      </c>
      <c r="F169" s="54">
        <v>8929225.4900000002</v>
      </c>
      <c r="G169" s="54">
        <v>76350.63</v>
      </c>
      <c r="H169" s="54">
        <f t="shared" si="10"/>
        <v>10003666.100000001</v>
      </c>
    </row>
    <row r="170" spans="1:8" x14ac:dyDescent="0.35">
      <c r="A170" s="53">
        <v>44948</v>
      </c>
      <c r="B170" s="132">
        <v>172617.57</v>
      </c>
      <c r="C170" s="132">
        <v>694593.25</v>
      </c>
      <c r="D170" s="132">
        <v>758</v>
      </c>
      <c r="E170" s="132">
        <v>65165.43</v>
      </c>
      <c r="F170" s="132">
        <v>5366546.8499999996</v>
      </c>
      <c r="G170" s="132">
        <v>116050.25</v>
      </c>
      <c r="H170" s="11">
        <f t="shared" si="10"/>
        <v>6415731.3499999996</v>
      </c>
    </row>
    <row r="171" spans="1:8" x14ac:dyDescent="0.35">
      <c r="A171" s="7">
        <v>44979</v>
      </c>
      <c r="B171" s="100">
        <v>103781.2</v>
      </c>
      <c r="C171" s="100">
        <v>602792.75</v>
      </c>
      <c r="D171" s="100">
        <v>20570</v>
      </c>
      <c r="E171" s="100">
        <v>646967.25</v>
      </c>
      <c r="F171" s="100">
        <v>5350657.84</v>
      </c>
      <c r="G171" s="100">
        <f>40100+47785.88</f>
        <v>87885.88</v>
      </c>
      <c r="H171" s="11">
        <f t="shared" si="10"/>
        <v>6812654.9199999999</v>
      </c>
    </row>
    <row r="172" spans="1:8" x14ac:dyDescent="0.35">
      <c r="A172" s="7">
        <v>45007</v>
      </c>
      <c r="B172" s="100">
        <v>110824.82</v>
      </c>
      <c r="C172" s="100">
        <v>806599.5</v>
      </c>
      <c r="D172" s="100">
        <v>8938</v>
      </c>
      <c r="E172" s="100">
        <v>48141.29</v>
      </c>
      <c r="F172" s="100">
        <v>6257297.7199999997</v>
      </c>
      <c r="G172" s="122">
        <f>5175+30825.88</f>
        <v>36000.880000000005</v>
      </c>
      <c r="H172" s="11">
        <f t="shared" si="10"/>
        <v>7267802.21</v>
      </c>
    </row>
    <row r="173" spans="1:8" x14ac:dyDescent="0.35">
      <c r="A173" s="42">
        <v>45038</v>
      </c>
      <c r="B173" s="11">
        <v>105822.28</v>
      </c>
      <c r="C173" s="11">
        <v>613479.25</v>
      </c>
      <c r="D173" s="11">
        <v>2916.5</v>
      </c>
      <c r="E173" s="11">
        <v>556409.49</v>
      </c>
      <c r="F173" s="11">
        <v>5411632.6500000004</v>
      </c>
      <c r="G173" s="11">
        <v>28766.13</v>
      </c>
      <c r="H173" s="11">
        <f t="shared" si="10"/>
        <v>6719026.2999999998</v>
      </c>
    </row>
    <row r="174" spans="1:8" x14ac:dyDescent="0.35">
      <c r="A174" s="7">
        <v>45068</v>
      </c>
      <c r="B174" s="11">
        <v>78171.44</v>
      </c>
      <c r="C174" s="11">
        <v>669277.25</v>
      </c>
      <c r="D174" s="11">
        <v>16686.54</v>
      </c>
      <c r="E174" s="11">
        <v>621219.35</v>
      </c>
      <c r="F174" s="11">
        <v>5331754.47</v>
      </c>
      <c r="G174" s="11">
        <v>733700.13</v>
      </c>
      <c r="H174" s="11">
        <f t="shared" si="10"/>
        <v>7450809.1799999997</v>
      </c>
    </row>
    <row r="175" spans="1:8" x14ac:dyDescent="0.35">
      <c r="A175" s="7">
        <v>45099</v>
      </c>
      <c r="B175" s="11">
        <v>152178.54</v>
      </c>
      <c r="C175" s="11">
        <v>407567.75</v>
      </c>
      <c r="D175" s="11">
        <v>5874.8</v>
      </c>
      <c r="E175" s="11">
        <v>424260.45</v>
      </c>
      <c r="F175" s="11">
        <v>7044625.5099999998</v>
      </c>
      <c r="G175" s="11">
        <v>37678.800000000003</v>
      </c>
      <c r="H175" s="11">
        <f t="shared" si="10"/>
        <v>8072185.8499999996</v>
      </c>
    </row>
    <row r="176" spans="1:8" x14ac:dyDescent="0.35">
      <c r="A176" s="42">
        <v>45129</v>
      </c>
      <c r="B176" s="11">
        <v>96148.5</v>
      </c>
      <c r="C176" s="11">
        <v>179206</v>
      </c>
      <c r="D176" s="11">
        <v>16595.5</v>
      </c>
      <c r="E176" s="11">
        <v>679486.93</v>
      </c>
      <c r="F176" s="11">
        <v>5144880.47</v>
      </c>
      <c r="G176" s="11">
        <v>30419.63</v>
      </c>
      <c r="H176" s="11">
        <f t="shared" si="10"/>
        <v>6146737.0299999993</v>
      </c>
    </row>
    <row r="177" spans="1:8" x14ac:dyDescent="0.35">
      <c r="A177" s="7">
        <v>45160</v>
      </c>
      <c r="B177" s="11">
        <v>123839.85</v>
      </c>
      <c r="C177" s="11">
        <v>543057.75</v>
      </c>
      <c r="D177" s="11">
        <v>9757.9</v>
      </c>
      <c r="E177" s="11">
        <v>46565.08</v>
      </c>
      <c r="F177" s="11">
        <v>4955708.5</v>
      </c>
      <c r="G177" s="11">
        <v>48603.31</v>
      </c>
      <c r="H177" s="11">
        <f t="shared" si="10"/>
        <v>5727532.3899999997</v>
      </c>
    </row>
    <row r="178" spans="1:8" x14ac:dyDescent="0.35">
      <c r="A178" s="7">
        <v>45191</v>
      </c>
      <c r="B178" s="11">
        <v>134355.99</v>
      </c>
      <c r="C178" s="11">
        <v>714910</v>
      </c>
      <c r="D178" s="11">
        <v>54797.5</v>
      </c>
      <c r="E178" s="11">
        <v>414625.46</v>
      </c>
      <c r="F178" s="11">
        <v>6018955.5</v>
      </c>
      <c r="G178" s="11">
        <v>75408.13</v>
      </c>
      <c r="H178" s="11">
        <f t="shared" si="10"/>
        <v>7413052.5800000001</v>
      </c>
    </row>
    <row r="179" spans="1:8" x14ac:dyDescent="0.35">
      <c r="A179" s="42">
        <v>45221</v>
      </c>
      <c r="B179" s="11">
        <v>150790.98000000001</v>
      </c>
      <c r="C179" s="11">
        <v>810978.85</v>
      </c>
      <c r="D179" s="11">
        <v>5745</v>
      </c>
      <c r="E179" s="11">
        <v>316744.44</v>
      </c>
      <c r="F179" s="11">
        <v>5947243.2199999997</v>
      </c>
      <c r="G179" s="11">
        <v>35661.26</v>
      </c>
      <c r="H179" s="11">
        <f t="shared" si="10"/>
        <v>7267163.75</v>
      </c>
    </row>
    <row r="180" spans="1:8" x14ac:dyDescent="0.35">
      <c r="A180" s="7">
        <v>45252</v>
      </c>
      <c r="B180" s="100">
        <v>131076.89000000001</v>
      </c>
      <c r="C180" s="100">
        <v>451896.5</v>
      </c>
      <c r="D180" s="100">
        <v>870</v>
      </c>
      <c r="E180" s="100">
        <v>256124.85</v>
      </c>
      <c r="F180" s="100">
        <v>6047821.4400000004</v>
      </c>
      <c r="G180" s="122">
        <v>67967.42</v>
      </c>
      <c r="H180" s="11">
        <f t="shared" si="10"/>
        <v>6955757.1000000006</v>
      </c>
    </row>
    <row r="181" spans="1:8" ht="15" thickBot="1" x14ac:dyDescent="0.4">
      <c r="A181" s="15">
        <v>45282</v>
      </c>
      <c r="B181" s="54">
        <v>69700.210000000006</v>
      </c>
      <c r="C181" s="54">
        <v>476357</v>
      </c>
      <c r="D181" s="54">
        <v>91848.99</v>
      </c>
      <c r="E181" s="54">
        <v>286515.53999999998</v>
      </c>
      <c r="F181" s="54">
        <v>9544585.75</v>
      </c>
      <c r="G181" s="54">
        <v>35701.21</v>
      </c>
      <c r="H181" s="54">
        <v>10504708.700000001</v>
      </c>
    </row>
    <row r="182" spans="1:8" x14ac:dyDescent="0.35">
      <c r="A182" s="16"/>
      <c r="B182" s="66"/>
      <c r="C182" s="66"/>
      <c r="D182" s="66"/>
      <c r="E182" s="66"/>
      <c r="F182" s="66"/>
      <c r="G182" s="66"/>
      <c r="H182" s="66"/>
    </row>
    <row r="183" spans="1:8" ht="15" thickBot="1" x14ac:dyDescent="0.4">
      <c r="A183" s="16"/>
      <c r="B183" s="12"/>
      <c r="C183" s="12"/>
      <c r="D183" s="12"/>
      <c r="E183" s="12"/>
      <c r="F183" s="12"/>
      <c r="G183" s="12"/>
    </row>
    <row r="184" spans="1:8" ht="15" thickBot="1" x14ac:dyDescent="0.4">
      <c r="A184" s="20" t="s">
        <v>9</v>
      </c>
      <c r="B184" s="21" t="s">
        <v>301</v>
      </c>
      <c r="C184" s="22">
        <v>85</v>
      </c>
      <c r="D184" s="23" t="s">
        <v>302</v>
      </c>
      <c r="E184" s="23" t="s">
        <v>303</v>
      </c>
      <c r="F184" s="23" t="s">
        <v>304</v>
      </c>
      <c r="G184" s="23" t="s">
        <v>305</v>
      </c>
      <c r="H184" s="21" t="s">
        <v>306</v>
      </c>
    </row>
    <row r="185" spans="1:8" x14ac:dyDescent="0.35">
      <c r="A185" s="96">
        <v>2010</v>
      </c>
      <c r="B185" s="70">
        <f t="shared" ref="B185:H185" si="11">SUM(B2:B13)</f>
        <v>661179</v>
      </c>
      <c r="C185" s="70">
        <f t="shared" si="11"/>
        <v>2972422</v>
      </c>
      <c r="D185" s="70">
        <f t="shared" si="11"/>
        <v>788094</v>
      </c>
      <c r="E185" s="70">
        <f t="shared" si="11"/>
        <v>2889140</v>
      </c>
      <c r="F185" s="70">
        <f t="shared" si="11"/>
        <v>33951531</v>
      </c>
      <c r="G185" s="70">
        <f t="shared" si="11"/>
        <v>302221</v>
      </c>
      <c r="H185" s="70">
        <f t="shared" si="11"/>
        <v>41564587</v>
      </c>
    </row>
    <row r="186" spans="1:8" x14ac:dyDescent="0.35">
      <c r="A186" s="18">
        <v>2011</v>
      </c>
      <c r="B186" s="11">
        <f t="shared" ref="B186:B196" ca="1" si="12">SUM(OFFSET($B$2,(12*(ROW(B2)-1)),0,12,1))</f>
        <v>1196582</v>
      </c>
      <c r="C186" s="11">
        <f t="shared" ref="C186:C196" ca="1" si="13">SUM(OFFSET($C$2,(12*(ROW(C2)-1)),0,12,1))</f>
        <v>2840348</v>
      </c>
      <c r="D186" s="11">
        <f t="shared" ref="D186:D196" ca="1" si="14">SUM(OFFSET($D$2,(12*(ROW(D2)-1)),0,12,1))</f>
        <v>1201769</v>
      </c>
      <c r="E186" s="11">
        <f t="shared" ref="E186:E196" ca="1" si="15">SUM(OFFSET($E$2,(12*(ROW(E2)-1)),0,12,1))</f>
        <v>3216301</v>
      </c>
      <c r="F186" s="11">
        <f t="shared" ref="F186:F196" ca="1" si="16">SUM(OFFSET($F$2,(12*(ROW(F2)-1)),0,12,1))</f>
        <v>29147384</v>
      </c>
      <c r="G186" s="11">
        <f t="shared" ref="G186:G196" ca="1" si="17">SUM(OFFSET($G$2,(12*(ROW(G2)-1)),0,12,1))</f>
        <v>364623</v>
      </c>
      <c r="H186" s="11">
        <f t="shared" ref="H186:H196" ca="1" si="18">SUM(OFFSET($H$2,(12*(ROW(H2)-1)),0,12,1))</f>
        <v>37967007</v>
      </c>
    </row>
    <row r="187" spans="1:8" x14ac:dyDescent="0.35">
      <c r="A187" s="18">
        <v>2012</v>
      </c>
      <c r="B187" s="11">
        <f t="shared" ca="1" si="12"/>
        <v>1544034</v>
      </c>
      <c r="C187" s="11">
        <f t="shared" ca="1" si="13"/>
        <v>3615944</v>
      </c>
      <c r="D187" s="11">
        <f t="shared" ca="1" si="14"/>
        <v>253657</v>
      </c>
      <c r="E187" s="11">
        <f t="shared" ca="1" si="15"/>
        <v>3519639</v>
      </c>
      <c r="F187" s="11">
        <f t="shared" ca="1" si="16"/>
        <v>36026553</v>
      </c>
      <c r="G187" s="11">
        <f t="shared" ca="1" si="17"/>
        <v>416875</v>
      </c>
      <c r="H187" s="11">
        <f t="shared" ca="1" si="18"/>
        <v>45376702</v>
      </c>
    </row>
    <row r="188" spans="1:8" x14ac:dyDescent="0.35">
      <c r="A188" s="18">
        <v>2013</v>
      </c>
      <c r="B188" s="11">
        <f t="shared" ca="1" si="12"/>
        <v>1327398</v>
      </c>
      <c r="C188" s="11">
        <f t="shared" ca="1" si="13"/>
        <v>1931569</v>
      </c>
      <c r="D188" s="11">
        <f t="shared" ca="1" si="14"/>
        <v>320565</v>
      </c>
      <c r="E188" s="11">
        <f t="shared" ca="1" si="15"/>
        <v>2892396</v>
      </c>
      <c r="F188" s="11">
        <f t="shared" ca="1" si="16"/>
        <v>51551866</v>
      </c>
      <c r="G188" s="11">
        <f t="shared" ca="1" si="17"/>
        <v>615961</v>
      </c>
      <c r="H188" s="11">
        <f t="shared" ca="1" si="18"/>
        <v>58639755</v>
      </c>
    </row>
    <row r="189" spans="1:8" x14ac:dyDescent="0.35">
      <c r="A189" s="18">
        <v>2014</v>
      </c>
      <c r="B189" s="11">
        <f t="shared" ca="1" si="12"/>
        <v>970146</v>
      </c>
      <c r="C189" s="11">
        <f t="shared" ca="1" si="13"/>
        <v>2298302</v>
      </c>
      <c r="D189" s="11">
        <f t="shared" ca="1" si="14"/>
        <v>1363616</v>
      </c>
      <c r="E189" s="11">
        <f t="shared" ca="1" si="15"/>
        <v>1368751</v>
      </c>
      <c r="F189" s="11">
        <f t="shared" ca="1" si="16"/>
        <v>78372040</v>
      </c>
      <c r="G189" s="11">
        <f t="shared" ca="1" si="17"/>
        <v>230692</v>
      </c>
      <c r="H189" s="11">
        <f t="shared" ca="1" si="18"/>
        <v>84603547</v>
      </c>
    </row>
    <row r="190" spans="1:8" x14ac:dyDescent="0.35">
      <c r="A190" s="36">
        <v>2015</v>
      </c>
      <c r="B190" s="37">
        <f t="shared" ca="1" si="12"/>
        <v>576155.74</v>
      </c>
      <c r="C190" s="37">
        <f t="shared" ca="1" si="13"/>
        <v>1610203.36</v>
      </c>
      <c r="D190" s="37">
        <f t="shared" ca="1" si="14"/>
        <v>167271.67999999999</v>
      </c>
      <c r="E190" s="37">
        <f t="shared" ca="1" si="15"/>
        <v>1232150.3800000001</v>
      </c>
      <c r="F190" s="37">
        <f t="shared" ca="1" si="16"/>
        <v>76796451.810000002</v>
      </c>
      <c r="G190" s="37">
        <f t="shared" ca="1" si="17"/>
        <v>286950.78000000003</v>
      </c>
      <c r="H190" s="37">
        <f t="shared" ca="1" si="18"/>
        <v>80669183.75</v>
      </c>
    </row>
    <row r="191" spans="1:8" x14ac:dyDescent="0.35">
      <c r="A191" s="18">
        <v>2016</v>
      </c>
      <c r="B191" s="11">
        <f t="shared" ca="1" si="12"/>
        <v>768610.11</v>
      </c>
      <c r="C191" s="11">
        <f t="shared" ca="1" si="13"/>
        <v>1885463.58</v>
      </c>
      <c r="D191" s="11">
        <f t="shared" ca="1" si="14"/>
        <v>336605.33</v>
      </c>
      <c r="E191" s="11">
        <f t="shared" ca="1" si="15"/>
        <v>2651120.9399999995</v>
      </c>
      <c r="F191" s="11">
        <f t="shared" ca="1" si="16"/>
        <v>73586248.930000007</v>
      </c>
      <c r="G191" s="11">
        <f t="shared" ca="1" si="17"/>
        <v>662575.55000000005</v>
      </c>
      <c r="H191" s="11">
        <f t="shared" ca="1" si="18"/>
        <v>79890624.439999983</v>
      </c>
    </row>
    <row r="192" spans="1:8" x14ac:dyDescent="0.35">
      <c r="A192" s="18">
        <v>2017</v>
      </c>
      <c r="B192" s="67">
        <f t="shared" ca="1" si="12"/>
        <v>884488.02</v>
      </c>
      <c r="C192" s="67">
        <f t="shared" ca="1" si="13"/>
        <v>4954717</v>
      </c>
      <c r="D192" s="67">
        <f t="shared" ca="1" si="14"/>
        <v>2176460.54</v>
      </c>
      <c r="E192" s="67">
        <f t="shared" ca="1" si="15"/>
        <v>1072362.6400000001</v>
      </c>
      <c r="F192" s="67">
        <f t="shared" ca="1" si="16"/>
        <v>79031664.969999999</v>
      </c>
      <c r="G192" s="67">
        <f t="shared" ca="1" si="17"/>
        <v>779495.70000000007</v>
      </c>
      <c r="H192" s="67">
        <f t="shared" ca="1" si="18"/>
        <v>88899188.870000005</v>
      </c>
    </row>
    <row r="193" spans="1:8" x14ac:dyDescent="0.35">
      <c r="A193" s="18">
        <v>2018</v>
      </c>
      <c r="B193" s="11">
        <f t="shared" ca="1" si="12"/>
        <v>595986.38</v>
      </c>
      <c r="C193" s="11">
        <f t="shared" ca="1" si="13"/>
        <v>821874.03</v>
      </c>
      <c r="D193" s="11">
        <f t="shared" ca="1" si="14"/>
        <v>709173.02</v>
      </c>
      <c r="E193" s="11">
        <f t="shared" ca="1" si="15"/>
        <v>1944457.4000000001</v>
      </c>
      <c r="F193" s="11">
        <f t="shared" ca="1" si="16"/>
        <v>89570537.329999998</v>
      </c>
      <c r="G193" s="11">
        <f t="shared" ca="1" si="17"/>
        <v>622252.64</v>
      </c>
      <c r="H193" s="11">
        <f t="shared" ca="1" si="18"/>
        <v>94264280.799999997</v>
      </c>
    </row>
    <row r="194" spans="1:8" x14ac:dyDescent="0.35">
      <c r="A194" s="18">
        <v>2019</v>
      </c>
      <c r="B194" s="11">
        <f t="shared" ca="1" si="12"/>
        <v>618624.29</v>
      </c>
      <c r="C194" s="11">
        <f t="shared" ca="1" si="13"/>
        <v>477174.83999999997</v>
      </c>
      <c r="D194" s="11">
        <f t="shared" ca="1" si="14"/>
        <v>751799.5</v>
      </c>
      <c r="E194" s="11">
        <f t="shared" ca="1" si="15"/>
        <v>853844.56</v>
      </c>
      <c r="F194" s="11">
        <f t="shared" ca="1" si="16"/>
        <v>80602797.49000001</v>
      </c>
      <c r="G194" s="11">
        <f t="shared" ca="1" si="17"/>
        <v>733673.09</v>
      </c>
      <c r="H194" s="11">
        <f t="shared" ca="1" si="18"/>
        <v>84037913.769999996</v>
      </c>
    </row>
    <row r="195" spans="1:8" x14ac:dyDescent="0.35">
      <c r="A195" s="18">
        <v>2020</v>
      </c>
      <c r="B195" s="11">
        <f t="shared" ca="1" si="12"/>
        <v>1279716.6500000004</v>
      </c>
      <c r="C195" s="11">
        <f t="shared" ca="1" si="13"/>
        <v>785787.05</v>
      </c>
      <c r="D195" s="11">
        <f t="shared" ca="1" si="14"/>
        <v>664566.92000000004</v>
      </c>
      <c r="E195" s="11">
        <f t="shared" ca="1" si="15"/>
        <v>10656267.139999999</v>
      </c>
      <c r="F195" s="11">
        <f t="shared" ca="1" si="16"/>
        <v>76972695.909999996</v>
      </c>
      <c r="G195" s="11">
        <f t="shared" ca="1" si="17"/>
        <v>513594.42000000004</v>
      </c>
      <c r="H195" s="11">
        <f t="shared" ca="1" si="18"/>
        <v>90872628.090000004</v>
      </c>
    </row>
    <row r="196" spans="1:8" x14ac:dyDescent="0.35">
      <c r="A196" s="18">
        <v>2021</v>
      </c>
      <c r="B196" s="11">
        <f t="shared" ca="1" si="12"/>
        <v>740887.36999999988</v>
      </c>
      <c r="C196" s="11">
        <f t="shared" ca="1" si="13"/>
        <v>2105651.7800000003</v>
      </c>
      <c r="D196" s="11">
        <f t="shared" ca="1" si="14"/>
        <v>528709.87</v>
      </c>
      <c r="E196" s="11">
        <f t="shared" ca="1" si="15"/>
        <v>10293589.110000001</v>
      </c>
      <c r="F196" s="11">
        <f t="shared" ca="1" si="16"/>
        <v>83556197.290000007</v>
      </c>
      <c r="G196" s="11">
        <f t="shared" ca="1" si="17"/>
        <v>585330.18999999994</v>
      </c>
      <c r="H196" s="11">
        <f t="shared" ca="1" si="18"/>
        <v>97810365.609999999</v>
      </c>
    </row>
    <row r="197" spans="1:8" x14ac:dyDescent="0.35">
      <c r="A197" s="18">
        <v>2022</v>
      </c>
      <c r="B197" s="11">
        <f t="shared" ref="B197:H197" si="19">SUM(B146:B157)</f>
        <v>1586723.14</v>
      </c>
      <c r="C197" s="11">
        <f t="shared" si="19"/>
        <v>5579476.2599999998</v>
      </c>
      <c r="D197" s="11">
        <f t="shared" si="19"/>
        <v>1695332.25</v>
      </c>
      <c r="E197" s="11">
        <f t="shared" si="19"/>
        <v>4919102</v>
      </c>
      <c r="F197" s="11">
        <f t="shared" si="19"/>
        <v>78358606.390000001</v>
      </c>
      <c r="G197" s="11">
        <f t="shared" si="19"/>
        <v>1406170.5899999999</v>
      </c>
      <c r="H197" s="11">
        <f t="shared" si="19"/>
        <v>93545410.629999995</v>
      </c>
    </row>
    <row r="198" spans="1:8" x14ac:dyDescent="0.35">
      <c r="A198" s="18">
        <v>2023</v>
      </c>
      <c r="B198" s="11">
        <f t="shared" ref="B198:H198" si="20">SUM(B158:B169)</f>
        <v>1689976.62</v>
      </c>
      <c r="C198" s="11">
        <f t="shared" si="20"/>
        <v>7574165</v>
      </c>
      <c r="D198" s="11">
        <f t="shared" si="20"/>
        <v>337467.9</v>
      </c>
      <c r="E198" s="11">
        <f t="shared" si="20"/>
        <v>4042959.28</v>
      </c>
      <c r="F198" s="11">
        <f t="shared" si="20"/>
        <v>80534089.439999998</v>
      </c>
      <c r="G198" s="11">
        <f t="shared" si="20"/>
        <v>605197.97</v>
      </c>
      <c r="H198" s="11">
        <f t="shared" si="20"/>
        <v>94783856.210000008</v>
      </c>
    </row>
    <row r="199" spans="1:8" ht="15" thickBot="1" x14ac:dyDescent="0.4">
      <c r="A199" s="189" t="s">
        <v>12</v>
      </c>
      <c r="B199" s="46">
        <f>SUM(B170:B181)</f>
        <v>1429308.27</v>
      </c>
      <c r="C199" s="46">
        <f>SUM(C170:C181)</f>
        <v>6970715.8499999996</v>
      </c>
      <c r="D199" s="46">
        <f t="shared" ref="D199:H199" si="21">SUM(D170:D181)</f>
        <v>235358.72999999998</v>
      </c>
      <c r="E199" s="46">
        <f t="shared" si="21"/>
        <v>4362225.5600000005</v>
      </c>
      <c r="F199" s="46">
        <f t="shared" si="21"/>
        <v>72421709.919999987</v>
      </c>
      <c r="G199" s="46">
        <f t="shared" si="21"/>
        <v>1333843.03</v>
      </c>
      <c r="H199" s="46">
        <f t="shared" si="21"/>
        <v>86753161.359999999</v>
      </c>
    </row>
    <row r="200" spans="1:8" ht="15" thickBot="1" x14ac:dyDescent="0.4">
      <c r="A200" s="16"/>
      <c r="B200" s="12"/>
      <c r="C200" s="12"/>
      <c r="D200" s="12"/>
      <c r="E200" s="12"/>
      <c r="F200" s="12"/>
      <c r="G200" s="12"/>
    </row>
    <row r="201" spans="1:8" ht="15" thickBot="1" x14ac:dyDescent="0.4">
      <c r="A201" s="87"/>
      <c r="B201" s="21" t="s">
        <v>301</v>
      </c>
      <c r="C201" s="88">
        <v>85</v>
      </c>
      <c r="D201" s="21" t="s">
        <v>302</v>
      </c>
      <c r="E201" s="88" t="s">
        <v>303</v>
      </c>
      <c r="F201" s="21" t="s">
        <v>304</v>
      </c>
      <c r="G201" s="88" t="s">
        <v>305</v>
      </c>
      <c r="H201" s="21" t="s">
        <v>306</v>
      </c>
    </row>
    <row r="202" spans="1:8" x14ac:dyDescent="0.35">
      <c r="A202" s="188" t="s">
        <v>11</v>
      </c>
      <c r="B202" s="91">
        <f>SUM(B158:B169)</f>
        <v>1689976.62</v>
      </c>
      <c r="C202" s="91">
        <f>SUM(C158:C169)</f>
        <v>7574165</v>
      </c>
      <c r="D202" s="91">
        <f t="shared" ref="D202:H202" si="22">SUM(D158:D169)</f>
        <v>337467.9</v>
      </c>
      <c r="E202" s="91">
        <f t="shared" si="22"/>
        <v>4042959.28</v>
      </c>
      <c r="F202" s="91">
        <f t="shared" si="22"/>
        <v>80534089.439999998</v>
      </c>
      <c r="G202" s="91">
        <f t="shared" si="22"/>
        <v>605197.97</v>
      </c>
      <c r="H202" s="91">
        <f t="shared" si="22"/>
        <v>94783856.210000008</v>
      </c>
    </row>
    <row r="203" spans="1:8" x14ac:dyDescent="0.35">
      <c r="A203" s="188" t="s">
        <v>12</v>
      </c>
      <c r="B203" s="91">
        <f>SUM(B170:B181)</f>
        <v>1429308.27</v>
      </c>
      <c r="C203" s="91">
        <f>SUM(C170:C181)</f>
        <v>6970715.8499999996</v>
      </c>
      <c r="D203" s="91">
        <f t="shared" ref="D203:H203" si="23">SUM(D170:D181)</f>
        <v>235358.72999999998</v>
      </c>
      <c r="E203" s="91">
        <f t="shared" si="23"/>
        <v>4362225.5600000005</v>
      </c>
      <c r="F203" s="91">
        <f t="shared" si="23"/>
        <v>72421709.919999987</v>
      </c>
      <c r="G203" s="91">
        <f t="shared" si="23"/>
        <v>1333843.03</v>
      </c>
      <c r="H203" s="91">
        <f t="shared" si="23"/>
        <v>86753161.359999999</v>
      </c>
    </row>
    <row r="204" spans="1:8" ht="29.5" thickBot="1" x14ac:dyDescent="0.4">
      <c r="A204" s="83" t="s">
        <v>28</v>
      </c>
      <c r="B204" s="92">
        <f>(B203-B202)/B202</f>
        <v>-0.15424376107641066</v>
      </c>
      <c r="C204" s="89">
        <f t="shared" ref="C204:H204" si="24">(C203-C202)/C202</f>
        <v>-7.967203645550372E-2</v>
      </c>
      <c r="D204" s="92">
        <f t="shared" si="24"/>
        <v>-0.30257446708264707</v>
      </c>
      <c r="E204" s="89">
        <f t="shared" si="24"/>
        <v>7.8968462922535482E-2</v>
      </c>
      <c r="F204" s="92">
        <f t="shared" si="24"/>
        <v>-0.10073224365495491</v>
      </c>
      <c r="G204" s="89">
        <f t="shared" si="24"/>
        <v>1.2039780305277628</v>
      </c>
      <c r="H204" s="92">
        <f t="shared" si="24"/>
        <v>-8.47263993164349E-2</v>
      </c>
    </row>
    <row r="205" spans="1:8" ht="15" thickBot="1" x14ac:dyDescent="0.4">
      <c r="A205" s="16"/>
      <c r="B205" s="12"/>
      <c r="C205" s="12"/>
      <c r="D205" s="12"/>
      <c r="E205" s="12"/>
      <c r="F205" s="12"/>
      <c r="G205" s="12"/>
    </row>
    <row r="206" spans="1:8" ht="15" thickBot="1" x14ac:dyDescent="0.4">
      <c r="A206" s="87"/>
      <c r="B206" s="21" t="s">
        <v>301</v>
      </c>
      <c r="C206" s="88">
        <v>85</v>
      </c>
      <c r="D206" s="21" t="s">
        <v>302</v>
      </c>
      <c r="E206" s="88" t="s">
        <v>303</v>
      </c>
      <c r="F206" s="21" t="s">
        <v>304</v>
      </c>
      <c r="G206" s="88" t="s">
        <v>305</v>
      </c>
      <c r="H206" s="21" t="s">
        <v>306</v>
      </c>
    </row>
    <row r="207" spans="1:8" ht="29" x14ac:dyDescent="0.35">
      <c r="A207" s="84" t="s">
        <v>17</v>
      </c>
      <c r="B207" s="91">
        <f>B169</f>
        <v>241986.62</v>
      </c>
      <c r="C207" s="91">
        <f>C169</f>
        <v>683722.5</v>
      </c>
      <c r="D207" s="91">
        <f t="shared" ref="D207:H207" si="25">D169</f>
        <v>4861</v>
      </c>
      <c r="E207" s="91">
        <f t="shared" si="25"/>
        <v>67519.86</v>
      </c>
      <c r="F207" s="91">
        <f t="shared" si="25"/>
        <v>8929225.4900000002</v>
      </c>
      <c r="G207" s="91">
        <f t="shared" si="25"/>
        <v>76350.63</v>
      </c>
      <c r="H207" s="91">
        <f t="shared" si="25"/>
        <v>10003666.100000001</v>
      </c>
    </row>
    <row r="208" spans="1:8" ht="29" x14ac:dyDescent="0.35">
      <c r="A208" s="84" t="s">
        <v>18</v>
      </c>
      <c r="B208" s="91">
        <f>B181</f>
        <v>69700.210000000006</v>
      </c>
      <c r="C208" s="91">
        <f>C181</f>
        <v>476357</v>
      </c>
      <c r="D208" s="91">
        <f t="shared" ref="D208:H208" si="26">D181</f>
        <v>91848.99</v>
      </c>
      <c r="E208" s="91">
        <f t="shared" si="26"/>
        <v>286515.53999999998</v>
      </c>
      <c r="F208" s="91">
        <f t="shared" si="26"/>
        <v>9544585.75</v>
      </c>
      <c r="G208" s="91">
        <f t="shared" si="26"/>
        <v>35701.21</v>
      </c>
      <c r="H208" s="91">
        <f t="shared" si="26"/>
        <v>10504708.700000001</v>
      </c>
    </row>
    <row r="209" spans="1:8" ht="29.5" thickBot="1" x14ac:dyDescent="0.4">
      <c r="A209" s="83" t="s">
        <v>28</v>
      </c>
      <c r="B209" s="92">
        <f>(B208-B207)/B207</f>
        <v>-0.71196667815766002</v>
      </c>
      <c r="C209" s="89">
        <f t="shared" ref="C209:H209" si="27">(C208-C207)/C207</f>
        <v>-0.30328898054400727</v>
      </c>
      <c r="D209" s="102">
        <f>(D208-D207)/D207</f>
        <v>17.895081259000207</v>
      </c>
      <c r="E209" s="89">
        <f t="shared" si="27"/>
        <v>3.2434261563930966</v>
      </c>
      <c r="F209" s="92">
        <f t="shared" si="27"/>
        <v>6.8915300737914256E-2</v>
      </c>
      <c r="G209" s="89">
        <f t="shared" si="27"/>
        <v>-0.53240451323060467</v>
      </c>
      <c r="H209" s="92">
        <f t="shared" si="27"/>
        <v>5.0085898008930901E-2</v>
      </c>
    </row>
  </sheetData>
  <pageMargins left="0.7" right="0.7" top="0.75" bottom="0.75" header="0.3" footer="0.3"/>
  <ignoredErrors>
    <ignoredError sqref="H2:H100 B185:G185 H103:H104 H106:H109 H110 H113:H121 H122:H145 H146:H150 C197:H197 H153:H157 B204:H204"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09"/>
  <sheetViews>
    <sheetView workbookViewId="0">
      <pane ySplit="1" topLeftCell="A173" activePane="bottomLeft" state="frozen"/>
      <selection pane="bottomLeft" activeCell="O214" sqref="O214"/>
    </sheetView>
  </sheetViews>
  <sheetFormatPr defaultColWidth="14.81640625" defaultRowHeight="14.5" x14ac:dyDescent="0.35"/>
  <cols>
    <col min="1" max="1" width="14.453125" bestFit="1" customWidth="1"/>
    <col min="2" max="2" width="14" bestFit="1" customWidth="1"/>
    <col min="3" max="3" width="14.81640625" bestFit="1" customWidth="1"/>
    <col min="4" max="4" width="12.54296875" bestFit="1" customWidth="1"/>
    <col min="5" max="5" width="15.81640625" bestFit="1" customWidth="1"/>
    <col min="6" max="6" width="13.453125" bestFit="1" customWidth="1"/>
    <col min="7" max="7" width="10.81640625" bestFit="1" customWidth="1"/>
    <col min="8" max="8" width="16.81640625" bestFit="1" customWidth="1"/>
    <col min="9" max="9" width="12.54296875" bestFit="1" customWidth="1"/>
    <col min="10" max="10" width="16.453125" bestFit="1" customWidth="1"/>
    <col min="11" max="11" width="22.453125" bestFit="1" customWidth="1"/>
  </cols>
  <sheetData>
    <row r="1" spans="1:11" ht="22.5" customHeight="1" x14ac:dyDescent="0.35">
      <c r="A1" s="32" t="s">
        <v>0</v>
      </c>
      <c r="B1" s="33" t="s">
        <v>308</v>
      </c>
      <c r="C1" s="35" t="s">
        <v>309</v>
      </c>
      <c r="D1" s="35" t="s">
        <v>310</v>
      </c>
      <c r="E1" s="35" t="s">
        <v>311</v>
      </c>
      <c r="F1" s="35" t="s">
        <v>312</v>
      </c>
      <c r="G1" s="35" t="s">
        <v>313</v>
      </c>
      <c r="H1" s="35" t="s">
        <v>314</v>
      </c>
      <c r="I1" s="35" t="s">
        <v>315</v>
      </c>
      <c r="J1" s="35" t="s">
        <v>316</v>
      </c>
      <c r="K1" s="35" t="s">
        <v>317</v>
      </c>
    </row>
    <row r="2" spans="1:11" x14ac:dyDescent="0.35">
      <c r="A2" s="7">
        <v>40179</v>
      </c>
      <c r="B2" s="11">
        <v>3594990</v>
      </c>
      <c r="C2" s="10">
        <v>254337</v>
      </c>
      <c r="D2" s="10">
        <v>47455</v>
      </c>
      <c r="E2" s="10">
        <v>585025</v>
      </c>
      <c r="F2" s="10">
        <v>108963</v>
      </c>
      <c r="G2" s="10">
        <v>327721</v>
      </c>
      <c r="H2" s="10">
        <v>260716</v>
      </c>
      <c r="I2" s="10">
        <v>3678</v>
      </c>
      <c r="J2" s="10">
        <v>6870642</v>
      </c>
      <c r="K2" s="10">
        <f t="shared" ref="K2:K33" si="0">SUM(B2:J2)</f>
        <v>12053527</v>
      </c>
    </row>
    <row r="3" spans="1:11" x14ac:dyDescent="0.35">
      <c r="A3" s="7">
        <v>40210</v>
      </c>
      <c r="B3" s="11">
        <v>1285105</v>
      </c>
      <c r="C3" s="10">
        <v>310625</v>
      </c>
      <c r="D3" s="10">
        <v>42392</v>
      </c>
      <c r="E3" s="10">
        <v>725150</v>
      </c>
      <c r="F3" s="10">
        <v>113083</v>
      </c>
      <c r="G3" s="10">
        <v>380316</v>
      </c>
      <c r="H3" s="10">
        <v>245869</v>
      </c>
      <c r="I3" s="10">
        <v>5906</v>
      </c>
      <c r="J3" s="10">
        <v>7219597</v>
      </c>
      <c r="K3" s="10">
        <f t="shared" si="0"/>
        <v>10328043</v>
      </c>
    </row>
    <row r="4" spans="1:11" x14ac:dyDescent="0.35">
      <c r="A4" s="7">
        <v>40238</v>
      </c>
      <c r="B4" s="11">
        <v>1514518</v>
      </c>
      <c r="C4" s="10">
        <v>237255</v>
      </c>
      <c r="D4" s="10">
        <v>60882</v>
      </c>
      <c r="E4" s="10">
        <v>1438656</v>
      </c>
      <c r="F4" s="10">
        <v>142564</v>
      </c>
      <c r="G4" s="10">
        <v>936447</v>
      </c>
      <c r="H4" s="10">
        <v>361742</v>
      </c>
      <c r="I4" s="10">
        <v>9237</v>
      </c>
      <c r="J4" s="10">
        <v>9620092</v>
      </c>
      <c r="K4" s="10">
        <f t="shared" si="0"/>
        <v>14321393</v>
      </c>
    </row>
    <row r="5" spans="1:11" x14ac:dyDescent="0.35">
      <c r="A5" s="7">
        <v>40269</v>
      </c>
      <c r="B5" s="11">
        <v>1014344</v>
      </c>
      <c r="C5" s="10">
        <v>254965</v>
      </c>
      <c r="D5" s="10">
        <v>62515</v>
      </c>
      <c r="E5" s="10">
        <v>1093644</v>
      </c>
      <c r="F5" s="10">
        <v>103024</v>
      </c>
      <c r="G5" s="10">
        <v>927298</v>
      </c>
      <c r="H5" s="10">
        <v>318277</v>
      </c>
      <c r="I5" s="10">
        <v>8161</v>
      </c>
      <c r="J5" s="10">
        <v>8757273</v>
      </c>
      <c r="K5" s="10">
        <f t="shared" si="0"/>
        <v>12539501</v>
      </c>
    </row>
    <row r="6" spans="1:11" x14ac:dyDescent="0.35">
      <c r="A6" s="7">
        <v>40299</v>
      </c>
      <c r="B6" s="11">
        <v>1136189</v>
      </c>
      <c r="C6" s="10">
        <v>245657</v>
      </c>
      <c r="D6" s="10">
        <v>76283</v>
      </c>
      <c r="E6" s="10">
        <v>979135</v>
      </c>
      <c r="F6" s="10">
        <v>94444</v>
      </c>
      <c r="G6" s="10">
        <v>896216</v>
      </c>
      <c r="H6" s="10">
        <v>259890</v>
      </c>
      <c r="I6" s="10">
        <v>12068</v>
      </c>
      <c r="J6" s="10">
        <v>8343954</v>
      </c>
      <c r="K6" s="10">
        <f t="shared" si="0"/>
        <v>12043836</v>
      </c>
    </row>
    <row r="7" spans="1:11" x14ac:dyDescent="0.35">
      <c r="A7" s="7">
        <v>40330</v>
      </c>
      <c r="B7" s="11">
        <v>1615992</v>
      </c>
      <c r="C7" s="10">
        <v>230316</v>
      </c>
      <c r="D7" s="10">
        <v>78234</v>
      </c>
      <c r="E7" s="10">
        <v>1155983</v>
      </c>
      <c r="F7" s="10">
        <v>126432</v>
      </c>
      <c r="G7" s="10">
        <v>904565</v>
      </c>
      <c r="H7" s="10">
        <v>255649</v>
      </c>
      <c r="I7" s="10">
        <v>9819</v>
      </c>
      <c r="J7" s="10">
        <v>11658898</v>
      </c>
      <c r="K7" s="10">
        <f t="shared" si="0"/>
        <v>16035888</v>
      </c>
    </row>
    <row r="8" spans="1:11" x14ac:dyDescent="0.35">
      <c r="A8" s="7">
        <v>40360</v>
      </c>
      <c r="B8" s="11">
        <v>1136338</v>
      </c>
      <c r="C8" s="10">
        <v>357269</v>
      </c>
      <c r="D8" s="10">
        <v>72995</v>
      </c>
      <c r="E8" s="10">
        <v>910014</v>
      </c>
      <c r="F8" s="10">
        <v>89607</v>
      </c>
      <c r="G8" s="10">
        <v>445648</v>
      </c>
      <c r="H8" s="10">
        <v>308645</v>
      </c>
      <c r="I8" s="10">
        <v>6563</v>
      </c>
      <c r="J8" s="10">
        <v>8025068</v>
      </c>
      <c r="K8" s="10">
        <f t="shared" si="0"/>
        <v>11352147</v>
      </c>
    </row>
    <row r="9" spans="1:11" x14ac:dyDescent="0.35">
      <c r="A9" s="7">
        <v>40391</v>
      </c>
      <c r="B9" s="11">
        <v>3632226</v>
      </c>
      <c r="C9" s="10">
        <v>588024</v>
      </c>
      <c r="D9" s="10">
        <v>69979</v>
      </c>
      <c r="E9" s="10">
        <v>713173</v>
      </c>
      <c r="F9" s="10">
        <v>77989</v>
      </c>
      <c r="G9" s="10">
        <v>263517</v>
      </c>
      <c r="H9" s="10">
        <v>268590</v>
      </c>
      <c r="I9" s="10">
        <v>6278</v>
      </c>
      <c r="J9" s="10">
        <v>10757928</v>
      </c>
      <c r="K9" s="10">
        <f t="shared" si="0"/>
        <v>16377704</v>
      </c>
    </row>
    <row r="10" spans="1:11" x14ac:dyDescent="0.35">
      <c r="A10" s="7">
        <v>40422</v>
      </c>
      <c r="B10" s="11">
        <v>1791686</v>
      </c>
      <c r="C10" s="10">
        <v>523043</v>
      </c>
      <c r="D10" s="10">
        <v>79357</v>
      </c>
      <c r="E10" s="10">
        <v>965627</v>
      </c>
      <c r="F10" s="10">
        <v>88177</v>
      </c>
      <c r="G10" s="10">
        <v>328676</v>
      </c>
      <c r="H10" s="10">
        <v>237229</v>
      </c>
      <c r="I10" s="10">
        <v>5290</v>
      </c>
      <c r="J10" s="10">
        <v>13106245</v>
      </c>
      <c r="K10" s="10">
        <f t="shared" si="0"/>
        <v>17125330</v>
      </c>
    </row>
    <row r="11" spans="1:11" x14ac:dyDescent="0.35">
      <c r="A11" s="7">
        <v>40452</v>
      </c>
      <c r="B11" s="11">
        <v>1263523</v>
      </c>
      <c r="C11" s="10">
        <v>288572</v>
      </c>
      <c r="D11" s="10">
        <v>65502</v>
      </c>
      <c r="E11" s="10">
        <v>773388</v>
      </c>
      <c r="F11" s="10">
        <v>65046</v>
      </c>
      <c r="G11" s="10">
        <v>711903</v>
      </c>
      <c r="H11" s="10">
        <v>290851</v>
      </c>
      <c r="I11" s="10">
        <v>2193</v>
      </c>
      <c r="J11" s="10">
        <v>9380191</v>
      </c>
      <c r="K11" s="10">
        <f t="shared" si="0"/>
        <v>12841169</v>
      </c>
    </row>
    <row r="12" spans="1:11" x14ac:dyDescent="0.35">
      <c r="A12" s="7">
        <v>40483</v>
      </c>
      <c r="B12" s="11">
        <v>1044229</v>
      </c>
      <c r="C12" s="10">
        <v>256683</v>
      </c>
      <c r="D12" s="10">
        <v>67217</v>
      </c>
      <c r="E12" s="10">
        <v>824072</v>
      </c>
      <c r="F12" s="10">
        <v>76599</v>
      </c>
      <c r="G12" s="10">
        <v>331434</v>
      </c>
      <c r="H12" s="10">
        <v>246511</v>
      </c>
      <c r="I12" s="10">
        <v>2094</v>
      </c>
      <c r="J12" s="10">
        <v>9270835</v>
      </c>
      <c r="K12" s="10">
        <f t="shared" si="0"/>
        <v>12119674</v>
      </c>
    </row>
    <row r="13" spans="1:11" x14ac:dyDescent="0.35">
      <c r="A13" s="7">
        <v>40513</v>
      </c>
      <c r="B13" s="11">
        <v>2519710</v>
      </c>
      <c r="C13" s="10">
        <v>526356</v>
      </c>
      <c r="D13" s="10">
        <v>66642</v>
      </c>
      <c r="E13" s="10">
        <v>1183988</v>
      </c>
      <c r="F13" s="10">
        <v>111461</v>
      </c>
      <c r="G13" s="10">
        <v>665135</v>
      </c>
      <c r="H13" s="10">
        <v>386258</v>
      </c>
      <c r="I13" s="10">
        <v>4728</v>
      </c>
      <c r="J13" s="10">
        <v>16956575</v>
      </c>
      <c r="K13" s="10">
        <f t="shared" si="0"/>
        <v>22420853</v>
      </c>
    </row>
    <row r="14" spans="1:11" x14ac:dyDescent="0.35">
      <c r="A14" s="7">
        <v>40544</v>
      </c>
      <c r="B14" s="11">
        <v>3275193</v>
      </c>
      <c r="C14" s="10">
        <v>240106</v>
      </c>
      <c r="D14" s="10">
        <v>81884</v>
      </c>
      <c r="E14" s="10">
        <v>588277</v>
      </c>
      <c r="F14" s="10">
        <v>80841</v>
      </c>
      <c r="G14" s="10">
        <v>235855</v>
      </c>
      <c r="H14" s="10">
        <v>322473</v>
      </c>
      <c r="I14" s="10">
        <v>5068</v>
      </c>
      <c r="J14" s="10">
        <v>7213394</v>
      </c>
      <c r="K14" s="10">
        <f t="shared" si="0"/>
        <v>12043091</v>
      </c>
    </row>
    <row r="15" spans="1:11" x14ac:dyDescent="0.35">
      <c r="A15" s="7">
        <v>40575</v>
      </c>
      <c r="B15" s="11">
        <v>1157582</v>
      </c>
      <c r="C15" s="10">
        <v>237865</v>
      </c>
      <c r="D15" s="10">
        <v>61916</v>
      </c>
      <c r="E15" s="10">
        <v>707953</v>
      </c>
      <c r="F15" s="10">
        <v>67112</v>
      </c>
      <c r="G15" s="10">
        <v>429772</v>
      </c>
      <c r="H15" s="10">
        <v>305056</v>
      </c>
      <c r="I15" s="10">
        <v>9453</v>
      </c>
      <c r="J15" s="10">
        <v>6890633</v>
      </c>
      <c r="K15" s="10">
        <f t="shared" si="0"/>
        <v>9867342</v>
      </c>
    </row>
    <row r="16" spans="1:11" x14ac:dyDescent="0.35">
      <c r="A16" s="7">
        <v>40603</v>
      </c>
      <c r="B16" s="11">
        <v>704087</v>
      </c>
      <c r="C16" s="10">
        <v>277217</v>
      </c>
      <c r="D16" s="10">
        <v>84890</v>
      </c>
      <c r="E16" s="10">
        <v>1180918</v>
      </c>
      <c r="F16" s="10">
        <v>100757</v>
      </c>
      <c r="G16" s="10">
        <v>984937</v>
      </c>
      <c r="H16" s="10">
        <v>273394</v>
      </c>
      <c r="I16" s="10">
        <v>11763</v>
      </c>
      <c r="J16" s="10">
        <v>14289867</v>
      </c>
      <c r="K16" s="10">
        <f t="shared" si="0"/>
        <v>17907830</v>
      </c>
    </row>
    <row r="17" spans="1:11" x14ac:dyDescent="0.35">
      <c r="A17" s="7">
        <v>40634</v>
      </c>
      <c r="B17" s="11">
        <v>1450171</v>
      </c>
      <c r="C17" s="10">
        <v>225991</v>
      </c>
      <c r="D17" s="10">
        <v>61739</v>
      </c>
      <c r="E17" s="10">
        <v>1167118</v>
      </c>
      <c r="F17" s="10">
        <v>83557</v>
      </c>
      <c r="G17" s="10">
        <v>786716</v>
      </c>
      <c r="H17" s="10">
        <v>312367</v>
      </c>
      <c r="I17" s="10">
        <v>14394</v>
      </c>
      <c r="J17" s="10">
        <v>9374876</v>
      </c>
      <c r="K17" s="10">
        <f t="shared" si="0"/>
        <v>13476929</v>
      </c>
    </row>
    <row r="18" spans="1:11" x14ac:dyDescent="0.35">
      <c r="A18" s="7">
        <v>40664</v>
      </c>
      <c r="B18" s="11">
        <v>1038158</v>
      </c>
      <c r="C18" s="10">
        <v>270464</v>
      </c>
      <c r="D18" s="10">
        <v>96994</v>
      </c>
      <c r="E18" s="10">
        <v>933133</v>
      </c>
      <c r="F18" s="10">
        <v>75419</v>
      </c>
      <c r="G18" s="10">
        <v>733455</v>
      </c>
      <c r="H18" s="10">
        <v>315345</v>
      </c>
      <c r="I18" s="10">
        <v>6634</v>
      </c>
      <c r="J18" s="10">
        <v>8313627</v>
      </c>
      <c r="K18" s="10">
        <f t="shared" si="0"/>
        <v>11783229</v>
      </c>
    </row>
    <row r="19" spans="1:11" x14ac:dyDescent="0.35">
      <c r="A19" s="7">
        <v>40695</v>
      </c>
      <c r="B19" s="11">
        <v>1484335</v>
      </c>
      <c r="C19" s="10">
        <v>254731</v>
      </c>
      <c r="D19" s="10">
        <v>77350</v>
      </c>
      <c r="E19" s="10">
        <v>961614</v>
      </c>
      <c r="F19" s="10">
        <v>106055</v>
      </c>
      <c r="G19" s="10">
        <v>794184</v>
      </c>
      <c r="H19" s="10">
        <v>199787</v>
      </c>
      <c r="I19" s="10">
        <v>7821</v>
      </c>
      <c r="J19" s="10">
        <v>18227160</v>
      </c>
      <c r="K19" s="10">
        <f t="shared" si="0"/>
        <v>22113037</v>
      </c>
    </row>
    <row r="20" spans="1:11" x14ac:dyDescent="0.35">
      <c r="A20" s="7">
        <v>40725</v>
      </c>
      <c r="B20" s="11">
        <v>1101233</v>
      </c>
      <c r="C20" s="10">
        <v>357269</v>
      </c>
      <c r="D20" s="10">
        <v>72995</v>
      </c>
      <c r="E20" s="10">
        <v>658422</v>
      </c>
      <c r="F20" s="10">
        <v>89607</v>
      </c>
      <c r="G20" s="10">
        <v>551630</v>
      </c>
      <c r="H20" s="10">
        <v>308645</v>
      </c>
      <c r="I20" s="10">
        <v>6563</v>
      </c>
      <c r="J20" s="10">
        <v>7953019</v>
      </c>
      <c r="K20" s="10">
        <f t="shared" si="0"/>
        <v>11099383</v>
      </c>
    </row>
    <row r="21" spans="1:11" x14ac:dyDescent="0.35">
      <c r="A21" s="7">
        <v>40756</v>
      </c>
      <c r="B21" s="11">
        <v>3598928</v>
      </c>
      <c r="C21" s="10">
        <v>540752</v>
      </c>
      <c r="D21" s="10">
        <v>86166</v>
      </c>
      <c r="E21" s="10">
        <v>716506</v>
      </c>
      <c r="F21" s="10">
        <v>117987</v>
      </c>
      <c r="G21" s="10">
        <v>328596</v>
      </c>
      <c r="H21" s="10">
        <v>267831</v>
      </c>
      <c r="I21" s="10">
        <v>5227</v>
      </c>
      <c r="J21" s="10">
        <v>10229006</v>
      </c>
      <c r="K21" s="10">
        <f t="shared" si="0"/>
        <v>15890999</v>
      </c>
    </row>
    <row r="22" spans="1:11" x14ac:dyDescent="0.35">
      <c r="A22" s="7">
        <v>40787</v>
      </c>
      <c r="B22" s="11">
        <v>1443969</v>
      </c>
      <c r="C22" s="10">
        <v>660864</v>
      </c>
      <c r="D22" s="10">
        <v>79781</v>
      </c>
      <c r="E22" s="10">
        <v>906546</v>
      </c>
      <c r="F22" s="10">
        <v>133113</v>
      </c>
      <c r="G22" s="10">
        <v>380989</v>
      </c>
      <c r="H22" s="10">
        <v>217441</v>
      </c>
      <c r="I22" s="10">
        <v>4516</v>
      </c>
      <c r="J22" s="10">
        <v>15208136</v>
      </c>
      <c r="K22" s="10">
        <f t="shared" si="0"/>
        <v>19035355</v>
      </c>
    </row>
    <row r="23" spans="1:11" x14ac:dyDescent="0.35">
      <c r="A23" s="7">
        <v>40817</v>
      </c>
      <c r="B23" s="11">
        <v>1142149</v>
      </c>
      <c r="C23" s="10">
        <v>255955</v>
      </c>
      <c r="D23" s="10">
        <v>76252</v>
      </c>
      <c r="E23" s="10">
        <v>947397</v>
      </c>
      <c r="F23" s="10">
        <v>127406</v>
      </c>
      <c r="G23" s="10">
        <v>395756</v>
      </c>
      <c r="H23" s="10">
        <v>268470</v>
      </c>
      <c r="I23" s="10">
        <v>3244</v>
      </c>
      <c r="J23" s="10">
        <v>9554944</v>
      </c>
      <c r="K23" s="10">
        <f t="shared" si="0"/>
        <v>12771573</v>
      </c>
    </row>
    <row r="24" spans="1:11" x14ac:dyDescent="0.35">
      <c r="A24" s="7">
        <v>40848</v>
      </c>
      <c r="B24" s="11">
        <v>1226889</v>
      </c>
      <c r="C24" s="10">
        <v>293602</v>
      </c>
      <c r="D24" s="10">
        <v>60354</v>
      </c>
      <c r="E24" s="10">
        <v>832174</v>
      </c>
      <c r="F24" s="10">
        <v>132922</v>
      </c>
      <c r="G24" s="10">
        <v>356505</v>
      </c>
      <c r="H24" s="10">
        <v>244890</v>
      </c>
      <c r="I24" s="10">
        <v>2775</v>
      </c>
      <c r="J24" s="10">
        <v>8897585</v>
      </c>
      <c r="K24" s="10">
        <f t="shared" si="0"/>
        <v>12047696</v>
      </c>
    </row>
    <row r="25" spans="1:11" x14ac:dyDescent="0.35">
      <c r="A25" s="7">
        <v>40878</v>
      </c>
      <c r="B25" s="11">
        <v>2914740</v>
      </c>
      <c r="C25" s="10">
        <v>526173</v>
      </c>
      <c r="D25" s="10">
        <v>66692</v>
      </c>
      <c r="E25" s="10">
        <v>963349</v>
      </c>
      <c r="F25" s="10">
        <v>182159</v>
      </c>
      <c r="G25" s="10">
        <v>628444</v>
      </c>
      <c r="H25" s="10">
        <v>290662</v>
      </c>
      <c r="I25" s="10">
        <v>2017</v>
      </c>
      <c r="J25" s="10">
        <v>15178059</v>
      </c>
      <c r="K25" s="10">
        <f t="shared" si="0"/>
        <v>20752295</v>
      </c>
    </row>
    <row r="26" spans="1:11" x14ac:dyDescent="0.35">
      <c r="A26" s="7">
        <v>40909</v>
      </c>
      <c r="B26" s="11">
        <v>3088423</v>
      </c>
      <c r="C26" s="10">
        <v>234114</v>
      </c>
      <c r="D26" s="10">
        <v>70509</v>
      </c>
      <c r="E26" s="10">
        <v>680398</v>
      </c>
      <c r="F26" s="10">
        <v>227237</v>
      </c>
      <c r="G26" s="10">
        <v>264566</v>
      </c>
      <c r="H26" s="10">
        <v>268407</v>
      </c>
      <c r="I26" s="10">
        <v>3539</v>
      </c>
      <c r="J26" s="10">
        <v>7819475</v>
      </c>
      <c r="K26" s="10">
        <f t="shared" si="0"/>
        <v>12656668</v>
      </c>
    </row>
    <row r="27" spans="1:11" x14ac:dyDescent="0.35">
      <c r="A27" s="7">
        <v>40940</v>
      </c>
      <c r="B27" s="11">
        <v>1173257</v>
      </c>
      <c r="C27" s="10">
        <v>248897</v>
      </c>
      <c r="D27" s="10">
        <v>77656</v>
      </c>
      <c r="E27" s="10">
        <v>662595</v>
      </c>
      <c r="F27" s="10">
        <v>306648</v>
      </c>
      <c r="G27" s="10">
        <v>513816</v>
      </c>
      <c r="H27" s="10">
        <v>224684</v>
      </c>
      <c r="I27" s="10">
        <v>9045</v>
      </c>
      <c r="J27" s="10">
        <v>8167260</v>
      </c>
      <c r="K27" s="10">
        <f t="shared" si="0"/>
        <v>11383858</v>
      </c>
    </row>
    <row r="28" spans="1:11" x14ac:dyDescent="0.35">
      <c r="A28" s="7">
        <v>40969</v>
      </c>
      <c r="B28" s="11">
        <v>1355099</v>
      </c>
      <c r="C28" s="10">
        <v>288076</v>
      </c>
      <c r="D28" s="10">
        <v>76707</v>
      </c>
      <c r="E28" s="10">
        <v>1083113</v>
      </c>
      <c r="F28" s="10">
        <v>401860</v>
      </c>
      <c r="G28" s="10">
        <v>850295</v>
      </c>
      <c r="H28" s="10">
        <v>258615</v>
      </c>
      <c r="I28" s="10">
        <v>15797</v>
      </c>
      <c r="J28" s="10">
        <v>13509933</v>
      </c>
      <c r="K28" s="10">
        <f t="shared" si="0"/>
        <v>17839495</v>
      </c>
    </row>
    <row r="29" spans="1:11" x14ac:dyDescent="0.35">
      <c r="A29" s="7">
        <v>41000</v>
      </c>
      <c r="B29" s="11">
        <v>972611</v>
      </c>
      <c r="C29" s="10">
        <v>250815</v>
      </c>
      <c r="D29" s="10">
        <v>76693</v>
      </c>
      <c r="E29" s="10">
        <v>1049952</v>
      </c>
      <c r="F29" s="10">
        <v>83722</v>
      </c>
      <c r="G29" s="10">
        <v>662258</v>
      </c>
      <c r="H29" s="10">
        <v>298841</v>
      </c>
      <c r="I29" s="10">
        <v>14472</v>
      </c>
      <c r="J29" s="10">
        <v>11751214</v>
      </c>
      <c r="K29" s="10">
        <f t="shared" si="0"/>
        <v>15160578</v>
      </c>
    </row>
    <row r="30" spans="1:11" x14ac:dyDescent="0.35">
      <c r="A30" s="7">
        <v>41030</v>
      </c>
      <c r="B30" s="11">
        <v>1211145</v>
      </c>
      <c r="C30" s="10">
        <v>258919</v>
      </c>
      <c r="D30" s="10">
        <v>85921</v>
      </c>
      <c r="E30" s="10">
        <v>939529</v>
      </c>
      <c r="F30" s="10">
        <v>94552</v>
      </c>
      <c r="G30" s="10">
        <v>681650</v>
      </c>
      <c r="H30" s="10">
        <v>389405</v>
      </c>
      <c r="I30" s="10">
        <v>7829</v>
      </c>
      <c r="J30" s="10">
        <v>9820338</v>
      </c>
      <c r="K30" s="10">
        <f t="shared" si="0"/>
        <v>13489288</v>
      </c>
    </row>
    <row r="31" spans="1:11" x14ac:dyDescent="0.35">
      <c r="A31" s="7">
        <v>41061</v>
      </c>
      <c r="B31" s="11">
        <v>1859875</v>
      </c>
      <c r="C31" s="10">
        <v>228422</v>
      </c>
      <c r="D31" s="10">
        <v>87031</v>
      </c>
      <c r="E31" s="10">
        <v>980615</v>
      </c>
      <c r="F31" s="10">
        <v>177750</v>
      </c>
      <c r="G31" s="10">
        <v>729828</v>
      </c>
      <c r="H31" s="10">
        <v>299607</v>
      </c>
      <c r="I31" s="10">
        <v>5702</v>
      </c>
      <c r="J31" s="10">
        <v>15174314</v>
      </c>
      <c r="K31" s="10">
        <f t="shared" si="0"/>
        <v>19543144</v>
      </c>
    </row>
    <row r="32" spans="1:11" x14ac:dyDescent="0.35">
      <c r="A32" s="7">
        <v>41091</v>
      </c>
      <c r="B32" s="11">
        <v>1130410</v>
      </c>
      <c r="C32" s="10">
        <v>339302</v>
      </c>
      <c r="D32" s="10">
        <v>86045</v>
      </c>
      <c r="E32" s="10">
        <v>657686</v>
      </c>
      <c r="F32" s="10">
        <v>114604</v>
      </c>
      <c r="G32" s="10">
        <v>253127</v>
      </c>
      <c r="H32" s="10">
        <v>295451</v>
      </c>
      <c r="I32" s="10">
        <v>4794</v>
      </c>
      <c r="J32" s="10">
        <v>9055767</v>
      </c>
      <c r="K32" s="10">
        <f t="shared" si="0"/>
        <v>11937186</v>
      </c>
    </row>
    <row r="33" spans="1:11" x14ac:dyDescent="0.35">
      <c r="A33" s="7">
        <v>41122</v>
      </c>
      <c r="B33" s="11">
        <v>3321173</v>
      </c>
      <c r="C33" s="10">
        <v>570462</v>
      </c>
      <c r="D33" s="10">
        <v>73155</v>
      </c>
      <c r="E33" s="10">
        <v>787572</v>
      </c>
      <c r="F33" s="10">
        <v>121367</v>
      </c>
      <c r="G33" s="10">
        <v>329763</v>
      </c>
      <c r="H33" s="10">
        <v>240718</v>
      </c>
      <c r="I33" s="10">
        <v>3721</v>
      </c>
      <c r="J33" s="10">
        <v>9505151</v>
      </c>
      <c r="K33" s="10">
        <f t="shared" si="0"/>
        <v>14953082</v>
      </c>
    </row>
    <row r="34" spans="1:11" x14ac:dyDescent="0.35">
      <c r="A34" s="7">
        <v>41153</v>
      </c>
      <c r="B34" s="11">
        <v>1805804</v>
      </c>
      <c r="C34" s="10">
        <v>523857</v>
      </c>
      <c r="D34" s="10">
        <v>79528</v>
      </c>
      <c r="E34" s="10">
        <v>871989</v>
      </c>
      <c r="F34" s="10">
        <v>247492</v>
      </c>
      <c r="G34" s="10">
        <v>353206</v>
      </c>
      <c r="H34" s="10">
        <v>294463</v>
      </c>
      <c r="I34" s="10">
        <v>2048</v>
      </c>
      <c r="J34" s="10">
        <v>14376683</v>
      </c>
      <c r="K34" s="10">
        <f t="shared" ref="K34:K65" si="1">SUM(B34:J34)</f>
        <v>18555070</v>
      </c>
    </row>
    <row r="35" spans="1:11" x14ac:dyDescent="0.35">
      <c r="A35" s="7">
        <v>41183</v>
      </c>
      <c r="B35" s="11">
        <v>1069869</v>
      </c>
      <c r="C35" s="10">
        <v>282961</v>
      </c>
      <c r="D35" s="10">
        <v>74764</v>
      </c>
      <c r="E35" s="10">
        <v>822091</v>
      </c>
      <c r="F35" s="10">
        <v>110027</v>
      </c>
      <c r="G35" s="10">
        <v>487648</v>
      </c>
      <c r="H35" s="10">
        <v>341835</v>
      </c>
      <c r="I35" s="10">
        <v>5610</v>
      </c>
      <c r="J35" s="10">
        <v>9996259</v>
      </c>
      <c r="K35" s="10">
        <f t="shared" si="1"/>
        <v>13191064</v>
      </c>
    </row>
    <row r="36" spans="1:11" x14ac:dyDescent="0.35">
      <c r="A36" s="7">
        <v>41214</v>
      </c>
      <c r="B36" s="11">
        <v>1049524</v>
      </c>
      <c r="C36" s="10">
        <v>321133</v>
      </c>
      <c r="D36" s="10">
        <v>65550</v>
      </c>
      <c r="E36" s="10">
        <v>1025171</v>
      </c>
      <c r="F36" s="10">
        <v>124407</v>
      </c>
      <c r="G36" s="10">
        <v>325970</v>
      </c>
      <c r="H36" s="10">
        <v>337370</v>
      </c>
      <c r="I36" s="10">
        <v>2554</v>
      </c>
      <c r="J36" s="10">
        <v>9240629</v>
      </c>
      <c r="K36" s="10">
        <f t="shared" si="1"/>
        <v>12492308</v>
      </c>
    </row>
    <row r="37" spans="1:11" x14ac:dyDescent="0.35">
      <c r="A37" s="7">
        <v>41244</v>
      </c>
      <c r="B37" s="11">
        <v>2805963</v>
      </c>
      <c r="C37" s="10">
        <v>461003</v>
      </c>
      <c r="D37" s="10">
        <v>270618</v>
      </c>
      <c r="E37" s="10">
        <v>1214731</v>
      </c>
      <c r="F37" s="10">
        <v>136307</v>
      </c>
      <c r="G37" s="10">
        <v>570968</v>
      </c>
      <c r="H37" s="10">
        <v>248418</v>
      </c>
      <c r="I37" s="10">
        <v>4070</v>
      </c>
      <c r="J37" s="10">
        <v>15903378</v>
      </c>
      <c r="K37" s="10">
        <f t="shared" si="1"/>
        <v>21615456</v>
      </c>
    </row>
    <row r="38" spans="1:11" x14ac:dyDescent="0.35">
      <c r="A38" s="7">
        <v>41275</v>
      </c>
      <c r="B38" s="11">
        <v>3074239</v>
      </c>
      <c r="C38" s="10">
        <v>266069</v>
      </c>
      <c r="D38" s="10">
        <v>69157</v>
      </c>
      <c r="E38" s="10">
        <v>546398</v>
      </c>
      <c r="F38" s="10">
        <v>161879</v>
      </c>
      <c r="G38" s="10">
        <v>329047</v>
      </c>
      <c r="H38" s="10">
        <v>253311</v>
      </c>
      <c r="I38" s="10">
        <v>3934</v>
      </c>
      <c r="J38" s="10">
        <v>11046885</v>
      </c>
      <c r="K38" s="10">
        <f t="shared" si="1"/>
        <v>15750919</v>
      </c>
    </row>
    <row r="39" spans="1:11" x14ac:dyDescent="0.35">
      <c r="A39" s="7">
        <v>41306</v>
      </c>
      <c r="B39" s="11">
        <v>1170028</v>
      </c>
      <c r="C39" s="10">
        <v>230309</v>
      </c>
      <c r="D39" s="10">
        <v>91700</v>
      </c>
      <c r="E39" s="10">
        <v>502497</v>
      </c>
      <c r="F39" s="10">
        <v>160154</v>
      </c>
      <c r="G39" s="10">
        <v>550192</v>
      </c>
      <c r="H39" s="10">
        <v>253199</v>
      </c>
      <c r="I39" s="10">
        <v>7959</v>
      </c>
      <c r="J39" s="10">
        <v>12114577</v>
      </c>
      <c r="K39" s="10">
        <f t="shared" si="1"/>
        <v>15080615</v>
      </c>
    </row>
    <row r="40" spans="1:11" x14ac:dyDescent="0.35">
      <c r="A40" s="7">
        <v>41334</v>
      </c>
      <c r="B40" s="11">
        <v>1375974</v>
      </c>
      <c r="C40" s="10">
        <v>448524</v>
      </c>
      <c r="D40" s="10">
        <v>101619</v>
      </c>
      <c r="E40" s="10">
        <v>855692</v>
      </c>
      <c r="F40" s="10">
        <v>173497</v>
      </c>
      <c r="G40" s="10">
        <v>953665</v>
      </c>
      <c r="H40" s="10">
        <v>303361</v>
      </c>
      <c r="I40" s="10">
        <v>9738</v>
      </c>
      <c r="J40" s="10">
        <v>14484344</v>
      </c>
      <c r="K40" s="10">
        <f t="shared" si="1"/>
        <v>18706414</v>
      </c>
    </row>
    <row r="41" spans="1:11" x14ac:dyDescent="0.35">
      <c r="A41" s="7">
        <v>41365</v>
      </c>
      <c r="B41" s="11">
        <v>1025521</v>
      </c>
      <c r="C41" s="10">
        <v>322351</v>
      </c>
      <c r="D41" s="10">
        <v>140978</v>
      </c>
      <c r="E41" s="10">
        <v>806862</v>
      </c>
      <c r="F41" s="10">
        <v>120523</v>
      </c>
      <c r="G41" s="10">
        <v>914634</v>
      </c>
      <c r="H41" s="10">
        <v>304016</v>
      </c>
      <c r="I41" s="10">
        <v>13961</v>
      </c>
      <c r="J41" s="10">
        <v>16973352</v>
      </c>
      <c r="K41" s="10">
        <f t="shared" si="1"/>
        <v>20622198</v>
      </c>
    </row>
    <row r="42" spans="1:11" x14ac:dyDescent="0.35">
      <c r="A42" s="7">
        <v>41395</v>
      </c>
      <c r="B42" s="11">
        <v>1153268</v>
      </c>
      <c r="C42" s="10">
        <v>235411</v>
      </c>
      <c r="D42" s="10">
        <v>78960</v>
      </c>
      <c r="E42" s="10">
        <v>728961</v>
      </c>
      <c r="F42" s="10">
        <v>161436</v>
      </c>
      <c r="G42" s="10">
        <v>977345</v>
      </c>
      <c r="H42" s="10">
        <v>255493</v>
      </c>
      <c r="I42" s="10">
        <v>8354</v>
      </c>
      <c r="J42" s="10">
        <v>13720767</v>
      </c>
      <c r="K42" s="10">
        <f t="shared" si="1"/>
        <v>17319995</v>
      </c>
    </row>
    <row r="43" spans="1:11" x14ac:dyDescent="0.35">
      <c r="A43" s="7">
        <v>41426</v>
      </c>
      <c r="B43" s="11">
        <v>1426967</v>
      </c>
      <c r="C43" s="10">
        <v>258153</v>
      </c>
      <c r="D43" s="10">
        <v>99971</v>
      </c>
      <c r="E43" s="10">
        <v>767758</v>
      </c>
      <c r="F43" s="10">
        <v>51777</v>
      </c>
      <c r="G43" s="10">
        <v>884681</v>
      </c>
      <c r="H43" s="10">
        <v>302439</v>
      </c>
      <c r="I43" s="10">
        <v>9200</v>
      </c>
      <c r="J43" s="10">
        <v>17853035</v>
      </c>
      <c r="K43" s="10">
        <f t="shared" si="1"/>
        <v>21653981</v>
      </c>
    </row>
    <row r="44" spans="1:11" x14ac:dyDescent="0.35">
      <c r="A44" s="7">
        <v>41456</v>
      </c>
      <c r="B44" s="11">
        <v>1209570</v>
      </c>
      <c r="C44" s="10">
        <v>319105</v>
      </c>
      <c r="D44" s="10">
        <v>90495</v>
      </c>
      <c r="E44" s="10">
        <v>495993</v>
      </c>
      <c r="F44" s="10">
        <v>104351</v>
      </c>
      <c r="G44" s="10">
        <v>409484</v>
      </c>
      <c r="H44" s="10">
        <v>205756</v>
      </c>
      <c r="I44" s="10">
        <v>7785</v>
      </c>
      <c r="J44" s="10">
        <v>9642769</v>
      </c>
      <c r="K44" s="10">
        <f t="shared" si="1"/>
        <v>12485308</v>
      </c>
    </row>
    <row r="45" spans="1:11" x14ac:dyDescent="0.35">
      <c r="A45" s="7">
        <v>41487</v>
      </c>
      <c r="B45" s="11">
        <v>2211654</v>
      </c>
      <c r="C45" s="10">
        <v>692258</v>
      </c>
      <c r="D45" s="10">
        <v>146478</v>
      </c>
      <c r="E45" s="10">
        <v>797664</v>
      </c>
      <c r="F45" s="10">
        <v>130551</v>
      </c>
      <c r="G45" s="10">
        <v>474278</v>
      </c>
      <c r="H45" s="10">
        <v>223827</v>
      </c>
      <c r="I45" s="10">
        <v>4915</v>
      </c>
      <c r="J45" s="10">
        <v>8952565</v>
      </c>
      <c r="K45" s="10">
        <f t="shared" si="1"/>
        <v>13634190</v>
      </c>
    </row>
    <row r="46" spans="1:11" x14ac:dyDescent="0.35">
      <c r="A46" s="7">
        <v>41518</v>
      </c>
      <c r="B46" s="11">
        <v>3047247</v>
      </c>
      <c r="C46" s="10">
        <v>503090</v>
      </c>
      <c r="D46" s="10">
        <v>92877</v>
      </c>
      <c r="E46" s="10">
        <v>802000</v>
      </c>
      <c r="F46" s="10">
        <v>145895</v>
      </c>
      <c r="G46" s="10">
        <v>636660</v>
      </c>
      <c r="H46" s="10">
        <v>240746</v>
      </c>
      <c r="I46" s="10">
        <v>5683</v>
      </c>
      <c r="J46" s="10">
        <v>14763065</v>
      </c>
      <c r="K46" s="10">
        <f t="shared" si="1"/>
        <v>20237263</v>
      </c>
    </row>
    <row r="47" spans="1:11" x14ac:dyDescent="0.35">
      <c r="A47" s="7">
        <v>41548</v>
      </c>
      <c r="B47" s="11">
        <v>1246556</v>
      </c>
      <c r="C47" s="10">
        <v>276564</v>
      </c>
      <c r="D47" s="10">
        <v>94466</v>
      </c>
      <c r="E47" s="10">
        <v>846369</v>
      </c>
      <c r="F47" s="10">
        <v>92411</v>
      </c>
      <c r="G47" s="10">
        <v>510384</v>
      </c>
      <c r="H47" s="10">
        <v>261134</v>
      </c>
      <c r="I47" s="10">
        <v>6783</v>
      </c>
      <c r="J47" s="10">
        <v>11033459</v>
      </c>
      <c r="K47" s="10">
        <f t="shared" si="1"/>
        <v>14368126</v>
      </c>
    </row>
    <row r="48" spans="1:11" x14ac:dyDescent="0.35">
      <c r="A48" s="7">
        <v>41579</v>
      </c>
      <c r="B48" s="11">
        <v>1144682</v>
      </c>
      <c r="C48" s="10">
        <v>320205</v>
      </c>
      <c r="D48" s="10">
        <v>91302</v>
      </c>
      <c r="E48" s="10">
        <v>650254</v>
      </c>
      <c r="F48" s="10">
        <v>78775</v>
      </c>
      <c r="G48" s="10">
        <v>441203</v>
      </c>
      <c r="H48" s="10">
        <v>268725</v>
      </c>
      <c r="I48" s="10">
        <v>5470</v>
      </c>
      <c r="J48" s="10">
        <v>13991752</v>
      </c>
      <c r="K48" s="10">
        <f t="shared" si="1"/>
        <v>16992368</v>
      </c>
    </row>
    <row r="49" spans="1:11" ht="15" thickBot="1" x14ac:dyDescent="0.4">
      <c r="A49" s="55">
        <v>41609</v>
      </c>
      <c r="B49" s="67">
        <v>2094568</v>
      </c>
      <c r="C49" s="69">
        <v>464481</v>
      </c>
      <c r="D49" s="69">
        <v>66925</v>
      </c>
      <c r="E49" s="69">
        <v>825168</v>
      </c>
      <c r="F49" s="69">
        <v>80020</v>
      </c>
      <c r="G49" s="69">
        <v>572566</v>
      </c>
      <c r="H49" s="69">
        <v>299222</v>
      </c>
      <c r="I49" s="69">
        <v>13368</v>
      </c>
      <c r="J49" s="69">
        <v>16252632</v>
      </c>
      <c r="K49" s="69">
        <f t="shared" si="1"/>
        <v>20668950</v>
      </c>
    </row>
    <row r="50" spans="1:11" x14ac:dyDescent="0.35">
      <c r="A50" s="53">
        <v>41640</v>
      </c>
      <c r="B50" s="70">
        <v>3358859</v>
      </c>
      <c r="C50" s="72">
        <v>268070</v>
      </c>
      <c r="D50" s="72">
        <v>233120</v>
      </c>
      <c r="E50" s="72">
        <v>624181</v>
      </c>
      <c r="F50" s="72">
        <v>91796</v>
      </c>
      <c r="G50" s="72">
        <v>336679</v>
      </c>
      <c r="H50" s="72">
        <v>326925</v>
      </c>
      <c r="I50" s="72">
        <v>2952</v>
      </c>
      <c r="J50" s="72">
        <v>10675113</v>
      </c>
      <c r="K50" s="70">
        <f t="shared" si="1"/>
        <v>15917695</v>
      </c>
    </row>
    <row r="51" spans="1:11" x14ac:dyDescent="0.35">
      <c r="A51" s="7">
        <v>41671</v>
      </c>
      <c r="B51" s="11">
        <v>1427654</v>
      </c>
      <c r="C51" s="10">
        <v>724697</v>
      </c>
      <c r="D51" s="10">
        <v>322958</v>
      </c>
      <c r="E51" s="10">
        <v>726779</v>
      </c>
      <c r="F51" s="10">
        <v>73779</v>
      </c>
      <c r="G51" s="10">
        <v>531297</v>
      </c>
      <c r="H51" s="10">
        <v>266717</v>
      </c>
      <c r="I51" s="10">
        <v>11264</v>
      </c>
      <c r="J51" s="10">
        <v>11219550</v>
      </c>
      <c r="K51" s="11">
        <f t="shared" si="1"/>
        <v>15304695</v>
      </c>
    </row>
    <row r="52" spans="1:11" x14ac:dyDescent="0.35">
      <c r="A52" s="7">
        <v>41699</v>
      </c>
      <c r="B52" s="11">
        <v>1254990</v>
      </c>
      <c r="C52" s="10">
        <v>661070</v>
      </c>
      <c r="D52" s="10">
        <v>238261</v>
      </c>
      <c r="E52" s="10">
        <v>675484</v>
      </c>
      <c r="F52" s="10">
        <v>25106</v>
      </c>
      <c r="G52" s="10">
        <v>1033630</v>
      </c>
      <c r="H52" s="10">
        <v>199075</v>
      </c>
      <c r="I52" s="10">
        <v>11589</v>
      </c>
      <c r="J52" s="10">
        <v>15782121</v>
      </c>
      <c r="K52" s="11">
        <f t="shared" si="1"/>
        <v>19881326</v>
      </c>
    </row>
    <row r="53" spans="1:11" x14ac:dyDescent="0.35">
      <c r="A53" s="7">
        <v>41730</v>
      </c>
      <c r="B53" s="11">
        <v>1147642</v>
      </c>
      <c r="C53" s="10">
        <v>483631</v>
      </c>
      <c r="D53" s="10">
        <v>177933</v>
      </c>
      <c r="E53" s="10">
        <v>637690</v>
      </c>
      <c r="F53" s="10">
        <v>143525</v>
      </c>
      <c r="G53" s="10">
        <v>1494101</v>
      </c>
      <c r="H53" s="10">
        <v>316294</v>
      </c>
      <c r="I53" s="10">
        <v>20932</v>
      </c>
      <c r="J53" s="10">
        <v>11221529</v>
      </c>
      <c r="K53" s="11">
        <f t="shared" si="1"/>
        <v>15643277</v>
      </c>
    </row>
    <row r="54" spans="1:11" x14ac:dyDescent="0.35">
      <c r="A54" s="7">
        <v>41760</v>
      </c>
      <c r="B54" s="11">
        <v>1171455</v>
      </c>
      <c r="C54" s="10">
        <v>447848</v>
      </c>
      <c r="D54" s="10">
        <v>170175</v>
      </c>
      <c r="E54" s="10">
        <v>585340</v>
      </c>
      <c r="F54" s="10">
        <v>108867</v>
      </c>
      <c r="G54" s="10">
        <v>1329786</v>
      </c>
      <c r="H54" s="10">
        <v>202794</v>
      </c>
      <c r="I54" s="10">
        <v>12826</v>
      </c>
      <c r="J54" s="10">
        <v>11067478</v>
      </c>
      <c r="K54" s="11">
        <f t="shared" si="1"/>
        <v>15096569</v>
      </c>
    </row>
    <row r="55" spans="1:11" x14ac:dyDescent="0.35">
      <c r="A55" s="7">
        <v>41791</v>
      </c>
      <c r="B55" s="11">
        <v>1422187</v>
      </c>
      <c r="C55" s="10">
        <v>384541</v>
      </c>
      <c r="D55" s="10">
        <v>139628</v>
      </c>
      <c r="E55" s="10">
        <v>716527</v>
      </c>
      <c r="F55" s="10">
        <v>146291</v>
      </c>
      <c r="G55" s="10">
        <v>309158</v>
      </c>
      <c r="H55" s="10">
        <v>168954</v>
      </c>
      <c r="I55" s="10">
        <v>8282</v>
      </c>
      <c r="J55" s="10">
        <v>14779766</v>
      </c>
      <c r="K55" s="11">
        <f t="shared" si="1"/>
        <v>18075334</v>
      </c>
    </row>
    <row r="56" spans="1:11" x14ac:dyDescent="0.35">
      <c r="A56" s="7">
        <v>41821</v>
      </c>
      <c r="B56" s="11">
        <v>1082511</v>
      </c>
      <c r="C56" s="10">
        <v>469569</v>
      </c>
      <c r="D56" s="10">
        <v>158623</v>
      </c>
      <c r="E56" s="10">
        <v>638213</v>
      </c>
      <c r="F56" s="10">
        <v>130677</v>
      </c>
      <c r="G56" s="10">
        <v>661195</v>
      </c>
      <c r="H56" s="10">
        <v>355229</v>
      </c>
      <c r="I56" s="10">
        <v>20394</v>
      </c>
      <c r="J56" s="10">
        <v>10267737</v>
      </c>
      <c r="K56" s="11">
        <f t="shared" si="1"/>
        <v>13784148</v>
      </c>
    </row>
    <row r="57" spans="1:11" x14ac:dyDescent="0.35">
      <c r="A57" s="7">
        <v>41852</v>
      </c>
      <c r="B57" s="11">
        <v>2174071</v>
      </c>
      <c r="C57" s="10">
        <v>801110</v>
      </c>
      <c r="D57" s="10">
        <v>139093</v>
      </c>
      <c r="E57" s="10">
        <v>503723</v>
      </c>
      <c r="F57" s="10">
        <v>136531</v>
      </c>
      <c r="G57" s="10">
        <v>375449</v>
      </c>
      <c r="H57" s="10">
        <v>287845</v>
      </c>
      <c r="I57" s="10">
        <v>8837</v>
      </c>
      <c r="J57" s="10">
        <v>10565185</v>
      </c>
      <c r="K57" s="11">
        <f t="shared" si="1"/>
        <v>14991844</v>
      </c>
    </row>
    <row r="58" spans="1:11" x14ac:dyDescent="0.35">
      <c r="A58" s="7">
        <v>41883</v>
      </c>
      <c r="B58" s="11">
        <v>3038489</v>
      </c>
      <c r="C58" s="10">
        <v>693006</v>
      </c>
      <c r="D58" s="10">
        <v>107341</v>
      </c>
      <c r="E58" s="10">
        <v>905751</v>
      </c>
      <c r="F58" s="10">
        <v>137763</v>
      </c>
      <c r="G58" s="10">
        <v>438879</v>
      </c>
      <c r="H58" s="10">
        <v>253648</v>
      </c>
      <c r="I58" s="10">
        <v>10136</v>
      </c>
      <c r="J58" s="10">
        <v>15195026</v>
      </c>
      <c r="K58" s="11">
        <f t="shared" si="1"/>
        <v>20780039</v>
      </c>
    </row>
    <row r="59" spans="1:11" x14ac:dyDescent="0.35">
      <c r="A59" s="7">
        <v>41913</v>
      </c>
      <c r="B59" s="11">
        <v>1076608</v>
      </c>
      <c r="C59" s="10">
        <v>510475</v>
      </c>
      <c r="D59" s="10">
        <v>202721</v>
      </c>
      <c r="E59" s="10">
        <v>683735</v>
      </c>
      <c r="F59" s="10">
        <v>136513</v>
      </c>
      <c r="G59" s="10">
        <v>826259</v>
      </c>
      <c r="H59" s="10">
        <v>256415</v>
      </c>
      <c r="I59" s="10">
        <v>5210</v>
      </c>
      <c r="J59" s="10">
        <v>11187957</v>
      </c>
      <c r="K59" s="11">
        <f t="shared" si="1"/>
        <v>14885893</v>
      </c>
    </row>
    <row r="60" spans="1:11" x14ac:dyDescent="0.35">
      <c r="A60" s="7">
        <v>41944</v>
      </c>
      <c r="B60" s="11">
        <v>1088441</v>
      </c>
      <c r="C60" s="10">
        <v>495239</v>
      </c>
      <c r="D60" s="10">
        <v>131274</v>
      </c>
      <c r="E60" s="10">
        <v>652484</v>
      </c>
      <c r="F60" s="10">
        <v>114143</v>
      </c>
      <c r="G60" s="10">
        <v>1281194</v>
      </c>
      <c r="H60" s="10">
        <v>311586</v>
      </c>
      <c r="I60" s="10">
        <v>3897</v>
      </c>
      <c r="J60" s="10">
        <v>10942040</v>
      </c>
      <c r="K60" s="11">
        <f t="shared" si="1"/>
        <v>15020298</v>
      </c>
    </row>
    <row r="61" spans="1:11" ht="15" thickBot="1" x14ac:dyDescent="0.4">
      <c r="A61" s="15">
        <v>41974</v>
      </c>
      <c r="B61" s="54">
        <v>2559298</v>
      </c>
      <c r="C61" s="74">
        <v>778288</v>
      </c>
      <c r="D61" s="74">
        <v>153746</v>
      </c>
      <c r="E61" s="74">
        <v>794892</v>
      </c>
      <c r="F61" s="74">
        <v>119304</v>
      </c>
      <c r="G61" s="74">
        <v>444490</v>
      </c>
      <c r="H61" s="74">
        <v>304232</v>
      </c>
      <c r="I61" s="74">
        <v>9866</v>
      </c>
      <c r="J61" s="74">
        <v>16842064</v>
      </c>
      <c r="K61" s="54">
        <f t="shared" si="1"/>
        <v>22006180</v>
      </c>
    </row>
    <row r="62" spans="1:11" x14ac:dyDescent="0.35">
      <c r="A62" s="42">
        <v>42005</v>
      </c>
      <c r="B62" s="37">
        <v>2941412</v>
      </c>
      <c r="C62" s="45">
        <v>431852</v>
      </c>
      <c r="D62" s="45">
        <v>128043</v>
      </c>
      <c r="E62" s="45">
        <v>683900</v>
      </c>
      <c r="F62" s="45">
        <v>13194</v>
      </c>
      <c r="G62" s="45">
        <v>303220</v>
      </c>
      <c r="H62" s="45">
        <v>323720</v>
      </c>
      <c r="I62" s="45">
        <v>4484</v>
      </c>
      <c r="J62" s="45">
        <v>11085491</v>
      </c>
      <c r="K62" s="45">
        <f t="shared" si="1"/>
        <v>15915316</v>
      </c>
    </row>
    <row r="63" spans="1:11" x14ac:dyDescent="0.35">
      <c r="A63" s="7">
        <v>42036</v>
      </c>
      <c r="B63" s="11">
        <v>1273372</v>
      </c>
      <c r="C63" s="10">
        <v>492599</v>
      </c>
      <c r="D63" s="10">
        <v>123537</v>
      </c>
      <c r="E63" s="10">
        <v>626491</v>
      </c>
      <c r="F63" s="10">
        <v>225962</v>
      </c>
      <c r="G63" s="10">
        <v>475356</v>
      </c>
      <c r="H63" s="10">
        <v>264145</v>
      </c>
      <c r="I63" s="10">
        <v>3760</v>
      </c>
      <c r="J63" s="10">
        <v>11227511</v>
      </c>
      <c r="K63" s="10">
        <f t="shared" si="1"/>
        <v>14712733</v>
      </c>
    </row>
    <row r="64" spans="1:11" x14ac:dyDescent="0.35">
      <c r="A64" s="7">
        <v>42064</v>
      </c>
      <c r="B64" s="11">
        <v>1193298</v>
      </c>
      <c r="C64" s="10">
        <v>463988</v>
      </c>
      <c r="D64" s="10">
        <v>106964</v>
      </c>
      <c r="E64" s="10">
        <v>819022</v>
      </c>
      <c r="F64" s="10">
        <v>156248</v>
      </c>
      <c r="G64" s="10">
        <v>1056388</v>
      </c>
      <c r="H64" s="10">
        <v>235195</v>
      </c>
      <c r="I64" s="10">
        <v>16884</v>
      </c>
      <c r="J64" s="10">
        <v>17638871</v>
      </c>
      <c r="K64" s="10">
        <f t="shared" si="1"/>
        <v>21686858</v>
      </c>
    </row>
    <row r="65" spans="1:11" x14ac:dyDescent="0.35">
      <c r="A65" s="7">
        <v>42095</v>
      </c>
      <c r="B65" s="11">
        <v>1001156</v>
      </c>
      <c r="C65" s="10">
        <v>406871</v>
      </c>
      <c r="D65" s="10">
        <v>137825</v>
      </c>
      <c r="E65" s="10">
        <v>648941</v>
      </c>
      <c r="F65" s="10">
        <v>155717</v>
      </c>
      <c r="G65" s="10">
        <v>997433</v>
      </c>
      <c r="H65" s="10">
        <v>245930</v>
      </c>
      <c r="I65" s="10">
        <v>13110</v>
      </c>
      <c r="J65" s="10">
        <v>11826566</v>
      </c>
      <c r="K65" s="10">
        <f t="shared" si="1"/>
        <v>15433549</v>
      </c>
    </row>
    <row r="66" spans="1:11" x14ac:dyDescent="0.35">
      <c r="A66" s="7">
        <v>42125</v>
      </c>
      <c r="B66" s="11">
        <v>1114949</v>
      </c>
      <c r="C66" s="10">
        <v>413121</v>
      </c>
      <c r="D66" s="10">
        <v>95532</v>
      </c>
      <c r="E66" s="10">
        <v>696596</v>
      </c>
      <c r="F66" s="10">
        <v>152895</v>
      </c>
      <c r="G66" s="10">
        <v>976070</v>
      </c>
      <c r="H66" s="10">
        <v>266551</v>
      </c>
      <c r="I66" s="10">
        <v>12290</v>
      </c>
      <c r="J66" s="10">
        <v>12198537</v>
      </c>
      <c r="K66" s="10">
        <f t="shared" ref="K66:K73" si="2">SUM(B66:J66)</f>
        <v>15926541</v>
      </c>
    </row>
    <row r="67" spans="1:11" x14ac:dyDescent="0.35">
      <c r="A67" s="7">
        <v>42156</v>
      </c>
      <c r="B67" s="11">
        <v>1351121.99</v>
      </c>
      <c r="C67" s="10">
        <v>444541.13</v>
      </c>
      <c r="D67" s="10">
        <v>99330.7</v>
      </c>
      <c r="E67" s="10">
        <v>759414.75</v>
      </c>
      <c r="F67" s="10">
        <v>141860.03</v>
      </c>
      <c r="G67" s="10">
        <v>447539.82</v>
      </c>
      <c r="H67" s="10">
        <v>212407.34</v>
      </c>
      <c r="I67" s="10">
        <v>12101.48</v>
      </c>
      <c r="J67" s="10">
        <v>14953302.65</v>
      </c>
      <c r="K67" s="10">
        <f t="shared" si="2"/>
        <v>18421619.890000001</v>
      </c>
    </row>
    <row r="68" spans="1:11" x14ac:dyDescent="0.35">
      <c r="A68" s="7">
        <v>42186</v>
      </c>
      <c r="B68" s="11">
        <v>1162125</v>
      </c>
      <c r="C68" s="10">
        <v>447750</v>
      </c>
      <c r="D68" s="10">
        <v>120575</v>
      </c>
      <c r="E68" s="10">
        <v>539959</v>
      </c>
      <c r="F68" s="10">
        <v>125780</v>
      </c>
      <c r="G68" s="10">
        <v>450892</v>
      </c>
      <c r="H68" s="10">
        <v>286826</v>
      </c>
      <c r="I68" s="10">
        <v>10178</v>
      </c>
      <c r="J68" s="10">
        <v>11002001</v>
      </c>
      <c r="K68" s="10">
        <f t="shared" si="2"/>
        <v>14146086</v>
      </c>
    </row>
    <row r="69" spans="1:11" x14ac:dyDescent="0.35">
      <c r="A69" s="7">
        <v>42217</v>
      </c>
      <c r="B69" s="11">
        <v>3289901</v>
      </c>
      <c r="C69" s="10">
        <v>743559</v>
      </c>
      <c r="D69" s="10">
        <v>109895</v>
      </c>
      <c r="E69" s="10">
        <v>490556</v>
      </c>
      <c r="F69" s="10">
        <v>175549</v>
      </c>
      <c r="G69" s="10">
        <v>342256</v>
      </c>
      <c r="H69" s="10">
        <v>254417</v>
      </c>
      <c r="I69" s="10">
        <v>13518</v>
      </c>
      <c r="J69" s="10">
        <v>9591273</v>
      </c>
      <c r="K69" s="10">
        <f t="shared" si="2"/>
        <v>15010924</v>
      </c>
    </row>
    <row r="70" spans="1:11" x14ac:dyDescent="0.35">
      <c r="A70" s="7">
        <v>42248</v>
      </c>
      <c r="B70" s="11">
        <v>1770990</v>
      </c>
      <c r="C70" s="10">
        <v>669086</v>
      </c>
      <c r="D70" s="10">
        <v>111498</v>
      </c>
      <c r="E70" s="10">
        <v>814200</v>
      </c>
      <c r="F70" s="10">
        <v>155467</v>
      </c>
      <c r="G70" s="10">
        <v>517029</v>
      </c>
      <c r="H70" s="10">
        <v>308155</v>
      </c>
      <c r="I70" s="10">
        <v>12282</v>
      </c>
      <c r="J70" s="10">
        <v>13172621</v>
      </c>
      <c r="K70" s="10">
        <f t="shared" si="2"/>
        <v>17531328</v>
      </c>
    </row>
    <row r="71" spans="1:11" x14ac:dyDescent="0.35">
      <c r="A71" s="7">
        <v>42278</v>
      </c>
      <c r="B71" s="11">
        <v>1005576</v>
      </c>
      <c r="C71" s="10">
        <v>423578</v>
      </c>
      <c r="D71" s="10">
        <v>171138</v>
      </c>
      <c r="E71" s="10">
        <v>595437</v>
      </c>
      <c r="F71" s="10">
        <v>150783</v>
      </c>
      <c r="G71" s="10">
        <v>855536</v>
      </c>
      <c r="H71" s="10">
        <v>285600</v>
      </c>
      <c r="I71" s="10">
        <v>7231</v>
      </c>
      <c r="J71" s="10">
        <v>12661255</v>
      </c>
      <c r="K71" s="10">
        <f t="shared" si="2"/>
        <v>16156134</v>
      </c>
    </row>
    <row r="72" spans="1:11" x14ac:dyDescent="0.35">
      <c r="A72" s="7">
        <v>42309</v>
      </c>
      <c r="B72" s="11">
        <v>1011923</v>
      </c>
      <c r="C72" s="10">
        <v>436050</v>
      </c>
      <c r="D72" s="10">
        <v>122712</v>
      </c>
      <c r="E72" s="10">
        <v>568974</v>
      </c>
      <c r="F72" s="10">
        <v>138358</v>
      </c>
      <c r="G72" s="10">
        <v>536915</v>
      </c>
      <c r="H72" s="10">
        <v>245822</v>
      </c>
      <c r="I72" s="10">
        <v>7079</v>
      </c>
      <c r="J72" s="10">
        <v>11747508</v>
      </c>
      <c r="K72" s="10">
        <f t="shared" si="2"/>
        <v>14815341</v>
      </c>
    </row>
    <row r="73" spans="1:11" ht="15" thickBot="1" x14ac:dyDescent="0.4">
      <c r="A73" s="55">
        <v>42339</v>
      </c>
      <c r="B73" s="67">
        <v>1383450.24</v>
      </c>
      <c r="C73" s="69">
        <v>743541.98</v>
      </c>
      <c r="D73" s="69">
        <v>87827.98</v>
      </c>
      <c r="E73" s="69">
        <v>811774.85</v>
      </c>
      <c r="F73" s="69">
        <v>174974.42</v>
      </c>
      <c r="G73" s="69">
        <v>511304.44</v>
      </c>
      <c r="H73" s="69">
        <v>255465.63</v>
      </c>
      <c r="I73" s="69">
        <v>13562.34</v>
      </c>
      <c r="J73" s="69">
        <v>14722029.83</v>
      </c>
      <c r="K73" s="69">
        <f t="shared" si="2"/>
        <v>18703931.710000001</v>
      </c>
    </row>
    <row r="74" spans="1:11" x14ac:dyDescent="0.35">
      <c r="A74" s="53">
        <v>42370</v>
      </c>
      <c r="B74" s="70">
        <v>3303478</v>
      </c>
      <c r="C74" s="72">
        <v>373123</v>
      </c>
      <c r="D74" s="72">
        <v>117532</v>
      </c>
      <c r="E74" s="72">
        <v>705234</v>
      </c>
      <c r="F74" s="72">
        <v>118278</v>
      </c>
      <c r="G74" s="72">
        <v>327746</v>
      </c>
      <c r="H74" s="72">
        <v>220474</v>
      </c>
      <c r="I74" s="72">
        <v>8728</v>
      </c>
      <c r="J74" s="72">
        <v>9282201</v>
      </c>
      <c r="K74" s="70">
        <f>SUM(B74:J74)</f>
        <v>14456794</v>
      </c>
    </row>
    <row r="75" spans="1:11" x14ac:dyDescent="0.35">
      <c r="A75" s="7">
        <v>42401</v>
      </c>
      <c r="B75" s="11">
        <v>1509193.49</v>
      </c>
      <c r="C75" s="10">
        <v>401536</v>
      </c>
      <c r="D75" s="10">
        <v>84655.53</v>
      </c>
      <c r="E75" s="10">
        <v>476258.21</v>
      </c>
      <c r="F75" s="10">
        <v>123839.67999999999</v>
      </c>
      <c r="G75" s="10">
        <v>527402.73</v>
      </c>
      <c r="H75" s="10">
        <v>250174.53</v>
      </c>
      <c r="I75" s="10">
        <v>16480.29</v>
      </c>
      <c r="J75" s="10">
        <v>10830662.17</v>
      </c>
      <c r="K75" s="11">
        <f>SUM(B75:J75)</f>
        <v>14220202.629999999</v>
      </c>
    </row>
    <row r="76" spans="1:11" x14ac:dyDescent="0.35">
      <c r="A76" s="7">
        <v>42430</v>
      </c>
      <c r="B76" s="11">
        <v>1197140.06</v>
      </c>
      <c r="C76" s="10">
        <v>432951.01</v>
      </c>
      <c r="D76" s="10">
        <v>124977</v>
      </c>
      <c r="E76" s="10">
        <v>813196.84</v>
      </c>
      <c r="F76" s="10">
        <v>133483.87</v>
      </c>
      <c r="G76" s="10">
        <v>972279.66</v>
      </c>
      <c r="H76" s="10">
        <v>329647.32</v>
      </c>
      <c r="I76" s="10">
        <v>22098.94</v>
      </c>
      <c r="J76" s="10">
        <v>15814877.859999999</v>
      </c>
      <c r="K76" s="11">
        <f>SUM(B76:J76)</f>
        <v>19840652.559999999</v>
      </c>
    </row>
    <row r="77" spans="1:11" x14ac:dyDescent="0.35">
      <c r="A77" s="7">
        <v>42461</v>
      </c>
      <c r="B77" s="11">
        <v>898202</v>
      </c>
      <c r="C77" s="10">
        <v>365145</v>
      </c>
      <c r="D77" s="10">
        <v>106076</v>
      </c>
      <c r="E77" s="10">
        <v>580825</v>
      </c>
      <c r="F77" s="10">
        <v>103622</v>
      </c>
      <c r="G77" s="10">
        <v>1171243</v>
      </c>
      <c r="H77" s="10">
        <v>283922</v>
      </c>
      <c r="I77" s="10">
        <v>11306</v>
      </c>
      <c r="J77" s="10">
        <v>12172420</v>
      </c>
      <c r="K77" s="11">
        <f t="shared" ref="K77:K79" si="3">SUM(B77:J77)</f>
        <v>15692761</v>
      </c>
    </row>
    <row r="78" spans="1:11" x14ac:dyDescent="0.35">
      <c r="A78" s="7">
        <v>42491</v>
      </c>
      <c r="B78" s="11">
        <v>1038057.95</v>
      </c>
      <c r="C78" s="10">
        <v>410537.97</v>
      </c>
      <c r="D78" s="10">
        <v>112220.23</v>
      </c>
      <c r="E78" s="10">
        <v>759679.25</v>
      </c>
      <c r="F78" s="10">
        <v>161223.99</v>
      </c>
      <c r="G78" s="10">
        <v>1094012.43</v>
      </c>
      <c r="H78" s="10">
        <v>280046.24</v>
      </c>
      <c r="I78" s="10">
        <v>13802.23</v>
      </c>
      <c r="J78" s="10">
        <v>10055708.35</v>
      </c>
      <c r="K78" s="11">
        <f t="shared" si="3"/>
        <v>13925288.639999999</v>
      </c>
    </row>
    <row r="79" spans="1:11" x14ac:dyDescent="0.35">
      <c r="A79" s="7">
        <v>42522</v>
      </c>
      <c r="B79" s="11">
        <v>1259332.06</v>
      </c>
      <c r="C79" s="10">
        <v>335155.5</v>
      </c>
      <c r="D79" s="10">
        <v>156786.35999999999</v>
      </c>
      <c r="E79" s="10">
        <v>813421.11</v>
      </c>
      <c r="F79" s="10">
        <v>195624.4</v>
      </c>
      <c r="G79" s="10">
        <v>476980.07</v>
      </c>
      <c r="H79" s="10">
        <v>286980.92</v>
      </c>
      <c r="I79" s="10">
        <v>16851.46</v>
      </c>
      <c r="J79" s="10">
        <v>15292647.65</v>
      </c>
      <c r="K79" s="11">
        <f t="shared" si="3"/>
        <v>18833779.530000001</v>
      </c>
    </row>
    <row r="80" spans="1:11" x14ac:dyDescent="0.35">
      <c r="A80" s="7">
        <v>42552</v>
      </c>
      <c r="B80" s="11">
        <v>1011806</v>
      </c>
      <c r="C80" s="10">
        <v>400791</v>
      </c>
      <c r="D80" s="10">
        <v>135923</v>
      </c>
      <c r="E80" s="10">
        <v>556730</v>
      </c>
      <c r="F80" s="10">
        <v>101256</v>
      </c>
      <c r="G80" s="10">
        <v>309937</v>
      </c>
      <c r="H80" s="10">
        <v>233859</v>
      </c>
      <c r="I80" s="10">
        <v>10406</v>
      </c>
      <c r="J80" s="10">
        <v>9426845</v>
      </c>
      <c r="K80" s="11">
        <f>SUM(B80:J80)</f>
        <v>12187553</v>
      </c>
    </row>
    <row r="81" spans="1:11" x14ac:dyDescent="0.35">
      <c r="A81" s="7">
        <v>42583</v>
      </c>
      <c r="B81" s="11">
        <v>1705482</v>
      </c>
      <c r="C81" s="10">
        <v>539973</v>
      </c>
      <c r="D81" s="10">
        <v>108884</v>
      </c>
      <c r="E81" s="10">
        <v>441542</v>
      </c>
      <c r="F81" s="10">
        <v>167518</v>
      </c>
      <c r="G81" s="10">
        <v>961350</v>
      </c>
      <c r="H81" s="10">
        <v>218874</v>
      </c>
      <c r="I81" s="10">
        <v>9308</v>
      </c>
      <c r="J81" s="10">
        <v>10694918</v>
      </c>
      <c r="K81" s="11">
        <f>SUM(B81:J81)</f>
        <v>14847849</v>
      </c>
    </row>
    <row r="82" spans="1:11" x14ac:dyDescent="0.35">
      <c r="A82" s="7">
        <v>42614</v>
      </c>
      <c r="B82" s="11">
        <v>1697484.71</v>
      </c>
      <c r="C82" s="10">
        <v>637980.75</v>
      </c>
      <c r="D82" s="10">
        <v>90585</v>
      </c>
      <c r="E82" s="10">
        <v>603603.86</v>
      </c>
      <c r="F82" s="10">
        <v>120727.71</v>
      </c>
      <c r="G82" s="10">
        <v>397646.18</v>
      </c>
      <c r="H82" s="10">
        <v>206203.51999999999</v>
      </c>
      <c r="I82" s="10">
        <v>6268.88</v>
      </c>
      <c r="J82" s="10">
        <v>13777129.140000001</v>
      </c>
      <c r="K82" s="11">
        <f>SUM(B82:J82)</f>
        <v>17537629.75</v>
      </c>
    </row>
    <row r="83" spans="1:11" x14ac:dyDescent="0.35">
      <c r="A83" s="7">
        <v>42644</v>
      </c>
      <c r="B83" s="11">
        <v>915160.58</v>
      </c>
      <c r="C83" s="10">
        <v>350942.51</v>
      </c>
      <c r="D83" s="10">
        <v>70191.399999999994</v>
      </c>
      <c r="E83" s="10">
        <v>497059.67</v>
      </c>
      <c r="F83" s="10">
        <v>124163.14</v>
      </c>
      <c r="G83" s="10">
        <v>801683.29</v>
      </c>
      <c r="H83" s="10">
        <v>310167.84999999998</v>
      </c>
      <c r="I83" s="10">
        <v>7693.49</v>
      </c>
      <c r="J83" s="10">
        <v>11147764.800000001</v>
      </c>
      <c r="K83" s="11">
        <f t="shared" ref="K83:K86" si="4">SUM(B83:J83)</f>
        <v>14224826.73</v>
      </c>
    </row>
    <row r="84" spans="1:11" x14ac:dyDescent="0.35">
      <c r="A84" s="7">
        <v>42675</v>
      </c>
      <c r="B84" s="11">
        <v>790001</v>
      </c>
      <c r="C84" s="10">
        <v>440919</v>
      </c>
      <c r="D84" s="10">
        <v>111666</v>
      </c>
      <c r="E84" s="10">
        <v>536700</v>
      </c>
      <c r="F84" s="10">
        <v>117574</v>
      </c>
      <c r="G84" s="10">
        <v>494822</v>
      </c>
      <c r="H84" s="10">
        <v>249113</v>
      </c>
      <c r="I84" s="10">
        <v>5785</v>
      </c>
      <c r="J84" s="10">
        <v>10255039</v>
      </c>
      <c r="K84" s="11">
        <f t="shared" si="4"/>
        <v>13001619</v>
      </c>
    </row>
    <row r="85" spans="1:11" ht="15" thickBot="1" x14ac:dyDescent="0.4">
      <c r="A85" s="15">
        <v>42705</v>
      </c>
      <c r="B85" s="54">
        <v>2066405.68</v>
      </c>
      <c r="C85" s="74">
        <v>623856.37000000011</v>
      </c>
      <c r="D85" s="74">
        <v>168095.08</v>
      </c>
      <c r="E85" s="74">
        <v>731503.16</v>
      </c>
      <c r="F85" s="74">
        <v>132075.76</v>
      </c>
      <c r="G85" s="74">
        <v>653023.56000000006</v>
      </c>
      <c r="H85" s="74">
        <v>324384.12</v>
      </c>
      <c r="I85" s="74">
        <v>6037.82</v>
      </c>
      <c r="J85" s="74">
        <v>16660356.83</v>
      </c>
      <c r="K85" s="54">
        <f t="shared" si="4"/>
        <v>21365738.379999999</v>
      </c>
    </row>
    <row r="86" spans="1:11" x14ac:dyDescent="0.35">
      <c r="A86" s="42">
        <v>42736</v>
      </c>
      <c r="B86" s="37">
        <v>2483435.4300000002</v>
      </c>
      <c r="C86" s="45">
        <v>286389.12</v>
      </c>
      <c r="D86" s="45">
        <v>71006.559999999998</v>
      </c>
      <c r="E86" s="45">
        <v>498813.92</v>
      </c>
      <c r="F86" s="45">
        <v>150675.17000000001</v>
      </c>
      <c r="G86" s="45">
        <v>296864.36</v>
      </c>
      <c r="H86" s="45">
        <v>262094.03</v>
      </c>
      <c r="I86" s="45">
        <v>8768.33</v>
      </c>
      <c r="J86" s="45">
        <v>11090217.85</v>
      </c>
      <c r="K86" s="45">
        <f t="shared" si="4"/>
        <v>15148264.77</v>
      </c>
    </row>
    <row r="87" spans="1:11" x14ac:dyDescent="0.35">
      <c r="A87" s="7">
        <v>42767</v>
      </c>
      <c r="B87" s="11">
        <v>889924.92</v>
      </c>
      <c r="C87" s="10">
        <v>379885.61</v>
      </c>
      <c r="D87" s="10">
        <v>92302.55</v>
      </c>
      <c r="E87" s="10">
        <v>469883.81</v>
      </c>
      <c r="F87" s="10">
        <v>137873.29</v>
      </c>
      <c r="G87" s="10">
        <v>616479.38</v>
      </c>
      <c r="H87" s="10">
        <v>255099.64</v>
      </c>
      <c r="I87" s="10">
        <v>9922.0400000000009</v>
      </c>
      <c r="J87" s="10">
        <v>10846109.02</v>
      </c>
      <c r="K87" s="10">
        <f>SUM(B87:J87)</f>
        <v>13697480.26</v>
      </c>
    </row>
    <row r="88" spans="1:11" x14ac:dyDescent="0.35">
      <c r="A88" s="7">
        <v>42795</v>
      </c>
      <c r="B88" s="11">
        <v>1152210.32</v>
      </c>
      <c r="C88" s="10">
        <v>392691.13</v>
      </c>
      <c r="D88" s="10">
        <v>96250.39</v>
      </c>
      <c r="E88" s="10">
        <v>587716.15</v>
      </c>
      <c r="F88" s="10">
        <v>151260</v>
      </c>
      <c r="G88" s="10">
        <v>1303212.19</v>
      </c>
      <c r="H88" s="10">
        <v>294892.08</v>
      </c>
      <c r="I88" s="10">
        <v>8597.43</v>
      </c>
      <c r="J88" s="10">
        <v>15033277.359999999</v>
      </c>
      <c r="K88" s="10">
        <f>SUM(B88:J88)</f>
        <v>19020107.050000001</v>
      </c>
    </row>
    <row r="89" spans="1:11" x14ac:dyDescent="0.35">
      <c r="A89" s="7">
        <v>42826</v>
      </c>
      <c r="B89" s="11">
        <v>2063393.62</v>
      </c>
      <c r="C89" s="10">
        <v>328017.03999999998</v>
      </c>
      <c r="D89" s="10">
        <v>84785.3</v>
      </c>
      <c r="E89" s="10">
        <v>480802.9</v>
      </c>
      <c r="F89" s="10">
        <v>190328.95999999999</v>
      </c>
      <c r="G89" s="10">
        <v>1152913.46</v>
      </c>
      <c r="H89" s="10">
        <v>322235.62</v>
      </c>
      <c r="I89" s="10">
        <v>11390.15</v>
      </c>
      <c r="J89" s="10">
        <v>11213650.779999999</v>
      </c>
      <c r="K89" s="10">
        <f>SUM(B89:J89)</f>
        <v>15847517.829999998</v>
      </c>
    </row>
    <row r="90" spans="1:11" x14ac:dyDescent="0.35">
      <c r="A90" s="7">
        <v>42856</v>
      </c>
      <c r="B90" s="11">
        <v>1003848.86</v>
      </c>
      <c r="C90" s="10">
        <v>260576.06</v>
      </c>
      <c r="D90" s="10">
        <v>172611</v>
      </c>
      <c r="E90" s="10">
        <v>544165.39</v>
      </c>
      <c r="F90" s="10">
        <v>147556.59</v>
      </c>
      <c r="G90" s="10">
        <v>998742.13</v>
      </c>
      <c r="H90" s="10">
        <v>290869.8</v>
      </c>
      <c r="I90" s="10">
        <v>14001.71</v>
      </c>
      <c r="J90" s="10">
        <v>15176708.16</v>
      </c>
      <c r="K90" s="10">
        <f>SUM(B90:J90)</f>
        <v>18609079.699999999</v>
      </c>
    </row>
    <row r="91" spans="1:11" x14ac:dyDescent="0.35">
      <c r="A91" s="7">
        <v>42887</v>
      </c>
      <c r="B91" s="11">
        <v>1106707</v>
      </c>
      <c r="C91" s="10">
        <v>397772</v>
      </c>
      <c r="D91" s="10">
        <v>97346</v>
      </c>
      <c r="E91" s="10">
        <v>532365</v>
      </c>
      <c r="F91" s="10">
        <v>155885</v>
      </c>
      <c r="G91" s="10">
        <v>465440</v>
      </c>
      <c r="H91" s="10">
        <v>282127</v>
      </c>
      <c r="I91" s="10">
        <v>6035</v>
      </c>
      <c r="J91" s="10">
        <v>14866579</v>
      </c>
      <c r="K91" s="10">
        <f t="shared" ref="K91:K109" si="5">SUM(B91:J91)</f>
        <v>17910256</v>
      </c>
    </row>
    <row r="92" spans="1:11" x14ac:dyDescent="0.35">
      <c r="A92" s="7">
        <v>42917</v>
      </c>
      <c r="B92" s="11">
        <v>924734</v>
      </c>
      <c r="C92" s="10">
        <v>428890</v>
      </c>
      <c r="D92" s="10">
        <v>92440</v>
      </c>
      <c r="E92" s="10">
        <v>395598</v>
      </c>
      <c r="F92" s="10">
        <v>153927</v>
      </c>
      <c r="G92" s="10">
        <v>374291</v>
      </c>
      <c r="H92" s="10">
        <v>231844</v>
      </c>
      <c r="I92" s="10">
        <v>9514</v>
      </c>
      <c r="J92" s="10">
        <v>12302124</v>
      </c>
      <c r="K92" s="10">
        <f t="shared" si="5"/>
        <v>14913362</v>
      </c>
    </row>
    <row r="93" spans="1:11" x14ac:dyDescent="0.35">
      <c r="A93" s="7">
        <v>42948</v>
      </c>
      <c r="B93" s="11">
        <v>2664362</v>
      </c>
      <c r="C93" s="10">
        <v>646147</v>
      </c>
      <c r="D93" s="10">
        <v>108345</v>
      </c>
      <c r="E93" s="10">
        <v>312773</v>
      </c>
      <c r="F93" s="10">
        <v>262947</v>
      </c>
      <c r="G93" s="10">
        <v>272278</v>
      </c>
      <c r="H93" s="10">
        <v>328335</v>
      </c>
      <c r="I93" s="10">
        <v>5780</v>
      </c>
      <c r="J93" s="10">
        <v>11573779</v>
      </c>
      <c r="K93" s="10">
        <f t="shared" si="5"/>
        <v>16174746</v>
      </c>
    </row>
    <row r="94" spans="1:11" x14ac:dyDescent="0.35">
      <c r="A94" s="7">
        <v>42979</v>
      </c>
      <c r="B94" s="11">
        <v>1439612</v>
      </c>
      <c r="C94" s="10">
        <v>553601</v>
      </c>
      <c r="D94" s="10">
        <v>105017</v>
      </c>
      <c r="E94" s="10">
        <v>447570</v>
      </c>
      <c r="F94" s="10">
        <v>273991</v>
      </c>
      <c r="G94" s="10">
        <v>484444</v>
      </c>
      <c r="H94" s="10">
        <v>230810</v>
      </c>
      <c r="I94" s="10">
        <v>10593</v>
      </c>
      <c r="J94" s="10">
        <v>13033407</v>
      </c>
      <c r="K94" s="10">
        <f t="shared" si="5"/>
        <v>16579045</v>
      </c>
    </row>
    <row r="95" spans="1:11" x14ac:dyDescent="0.35">
      <c r="A95" s="7">
        <v>43009</v>
      </c>
      <c r="B95" s="11">
        <v>848040</v>
      </c>
      <c r="C95" s="10">
        <v>307557</v>
      </c>
      <c r="D95" s="10">
        <v>73302</v>
      </c>
      <c r="E95" s="10">
        <v>480625</v>
      </c>
      <c r="F95" s="10">
        <v>175313</v>
      </c>
      <c r="G95" s="10">
        <v>683961</v>
      </c>
      <c r="H95" s="10">
        <v>273295</v>
      </c>
      <c r="I95" s="10">
        <v>8024</v>
      </c>
      <c r="J95" s="10">
        <v>12998531</v>
      </c>
      <c r="K95" s="10">
        <f t="shared" si="5"/>
        <v>15848648</v>
      </c>
    </row>
    <row r="96" spans="1:11" x14ac:dyDescent="0.35">
      <c r="A96" s="7">
        <v>43040</v>
      </c>
      <c r="B96" s="11">
        <v>806247</v>
      </c>
      <c r="C96" s="10">
        <v>391048</v>
      </c>
      <c r="D96" s="10">
        <v>129872</v>
      </c>
      <c r="E96" s="10">
        <v>523807</v>
      </c>
      <c r="F96" s="10">
        <v>160864</v>
      </c>
      <c r="G96" s="10">
        <v>742959</v>
      </c>
      <c r="H96" s="10">
        <v>250637</v>
      </c>
      <c r="I96" s="10">
        <v>4217</v>
      </c>
      <c r="J96" s="10">
        <v>12648320</v>
      </c>
      <c r="K96" s="10">
        <f t="shared" si="5"/>
        <v>15657971</v>
      </c>
    </row>
    <row r="97" spans="1:11" ht="15" thickBot="1" x14ac:dyDescent="0.4">
      <c r="A97" s="55">
        <v>43070</v>
      </c>
      <c r="B97" s="67">
        <v>1726477.35</v>
      </c>
      <c r="C97" s="69">
        <v>701354.8</v>
      </c>
      <c r="D97" s="69">
        <v>85615.08</v>
      </c>
      <c r="E97" s="69">
        <v>430884.13</v>
      </c>
      <c r="F97" s="69">
        <v>204158.89</v>
      </c>
      <c r="G97" s="69">
        <v>787061.5</v>
      </c>
      <c r="H97" s="69">
        <v>274193.52</v>
      </c>
      <c r="I97" s="69">
        <v>5837.23</v>
      </c>
      <c r="J97" s="69">
        <v>14636237.859999999</v>
      </c>
      <c r="K97" s="69">
        <f t="shared" si="5"/>
        <v>18851820.359999999</v>
      </c>
    </row>
    <row r="98" spans="1:11" x14ac:dyDescent="0.35">
      <c r="A98" s="53">
        <v>43101</v>
      </c>
      <c r="B98" s="70">
        <v>2298345.8199999998</v>
      </c>
      <c r="C98" s="72">
        <v>303645.58</v>
      </c>
      <c r="D98" s="72">
        <v>69644.5</v>
      </c>
      <c r="E98" s="72">
        <v>653489.26</v>
      </c>
      <c r="F98" s="72">
        <v>130625.67</v>
      </c>
      <c r="G98" s="72">
        <v>274668.79999999999</v>
      </c>
      <c r="H98" s="72">
        <v>258664.87</v>
      </c>
      <c r="I98" s="72">
        <v>5584.93</v>
      </c>
      <c r="J98" s="72">
        <v>12526040.999999998</v>
      </c>
      <c r="K98" s="70">
        <f t="shared" si="5"/>
        <v>16520710.429999998</v>
      </c>
    </row>
    <row r="99" spans="1:11" x14ac:dyDescent="0.35">
      <c r="A99" s="7">
        <v>43132</v>
      </c>
      <c r="B99" s="11">
        <v>860248.73</v>
      </c>
      <c r="C99" s="10">
        <v>351896.43</v>
      </c>
      <c r="D99" s="10">
        <v>181382.95</v>
      </c>
      <c r="E99" s="10">
        <v>560488.87</v>
      </c>
      <c r="F99" s="10">
        <v>261196.18</v>
      </c>
      <c r="G99" s="10">
        <v>502224.77</v>
      </c>
      <c r="H99" s="10">
        <v>286425.73</v>
      </c>
      <c r="I99" s="10">
        <v>6146.71</v>
      </c>
      <c r="J99" s="10">
        <v>11591339.860000001</v>
      </c>
      <c r="K99" s="11">
        <f t="shared" si="5"/>
        <v>14601350.23</v>
      </c>
    </row>
    <row r="100" spans="1:11" x14ac:dyDescent="0.35">
      <c r="A100" s="7">
        <v>43160</v>
      </c>
      <c r="B100" s="11">
        <v>1237134.97</v>
      </c>
      <c r="C100" s="10">
        <v>407845.98</v>
      </c>
      <c r="D100" s="10">
        <v>58142.28</v>
      </c>
      <c r="E100" s="10">
        <v>627568.72</v>
      </c>
      <c r="F100" s="10">
        <v>213643.74</v>
      </c>
      <c r="G100" s="10">
        <v>2373135.64</v>
      </c>
      <c r="H100" s="10">
        <v>217709.06</v>
      </c>
      <c r="I100" s="10">
        <v>8108.25</v>
      </c>
      <c r="J100" s="10">
        <v>13815503.729999999</v>
      </c>
      <c r="K100" s="11">
        <f t="shared" si="5"/>
        <v>18958792.369999997</v>
      </c>
    </row>
    <row r="101" spans="1:11" x14ac:dyDescent="0.35">
      <c r="A101" s="7">
        <v>43191</v>
      </c>
      <c r="B101" s="11">
        <v>773845.7</v>
      </c>
      <c r="C101" s="10">
        <v>331934.87</v>
      </c>
      <c r="D101" s="10">
        <v>68438.05</v>
      </c>
      <c r="E101" s="10">
        <v>472282.91</v>
      </c>
      <c r="F101" s="10">
        <v>231810.84</v>
      </c>
      <c r="G101" s="10">
        <v>1151709.1000000001</v>
      </c>
      <c r="H101" s="10">
        <v>281464.81</v>
      </c>
      <c r="I101" s="10">
        <v>9789.2000000000007</v>
      </c>
      <c r="J101" s="10">
        <v>13751160.639999999</v>
      </c>
      <c r="K101" s="11">
        <f t="shared" si="5"/>
        <v>17072436.119999997</v>
      </c>
    </row>
    <row r="102" spans="1:11" x14ac:dyDescent="0.35">
      <c r="A102" s="7">
        <v>43221</v>
      </c>
      <c r="B102" s="11">
        <v>985114.07</v>
      </c>
      <c r="C102" s="10">
        <v>340887.15</v>
      </c>
      <c r="D102" s="10">
        <v>66849.75</v>
      </c>
      <c r="E102" s="10">
        <v>466315.32</v>
      </c>
      <c r="F102" s="10">
        <v>292794.87</v>
      </c>
      <c r="G102" s="10">
        <v>1142054.28</v>
      </c>
      <c r="H102" s="10">
        <v>248281.05</v>
      </c>
      <c r="I102" s="10">
        <v>13087.42</v>
      </c>
      <c r="J102" s="10">
        <v>12468028.35</v>
      </c>
      <c r="K102" s="11">
        <v>16023412.26</v>
      </c>
    </row>
    <row r="103" spans="1:11" x14ac:dyDescent="0.35">
      <c r="A103" s="7">
        <v>43252</v>
      </c>
      <c r="B103" s="11">
        <v>1016928.9</v>
      </c>
      <c r="C103" s="10">
        <v>419486.16</v>
      </c>
      <c r="D103" s="10">
        <v>57350.96</v>
      </c>
      <c r="E103" s="10">
        <v>-353034.93</v>
      </c>
      <c r="F103" s="10">
        <v>143572.20000000001</v>
      </c>
      <c r="G103" s="10">
        <v>389045.7</v>
      </c>
      <c r="H103" s="10">
        <v>297128.42</v>
      </c>
      <c r="I103" s="10">
        <v>7422.79</v>
      </c>
      <c r="J103" s="10">
        <v>12699260.870000001</v>
      </c>
      <c r="K103" s="11">
        <f t="shared" si="5"/>
        <v>14677161.07</v>
      </c>
    </row>
    <row r="104" spans="1:11" x14ac:dyDescent="0.35">
      <c r="A104" s="7">
        <v>43282</v>
      </c>
      <c r="B104" s="11">
        <v>891672.48</v>
      </c>
      <c r="C104" s="10">
        <v>432156.53</v>
      </c>
      <c r="D104" s="10">
        <v>67807.759999999995</v>
      </c>
      <c r="E104" s="10">
        <v>328159.14</v>
      </c>
      <c r="F104" s="10">
        <v>180015.59</v>
      </c>
      <c r="G104" s="10">
        <v>315204.94</v>
      </c>
      <c r="H104" s="10">
        <v>259702</v>
      </c>
      <c r="I104" s="10">
        <v>6762.89</v>
      </c>
      <c r="J104" s="10">
        <v>12822819.789999999</v>
      </c>
      <c r="K104" s="11">
        <f t="shared" si="5"/>
        <v>15304301.119999999</v>
      </c>
    </row>
    <row r="105" spans="1:11" x14ac:dyDescent="0.35">
      <c r="A105" s="7">
        <v>43313</v>
      </c>
      <c r="B105" s="11">
        <v>2625780.04</v>
      </c>
      <c r="C105" s="10">
        <v>736125.43999999994</v>
      </c>
      <c r="D105" s="10">
        <v>137131.96</v>
      </c>
      <c r="E105" s="10">
        <v>372056.56</v>
      </c>
      <c r="F105" s="10">
        <v>217710.54</v>
      </c>
      <c r="G105" s="10">
        <v>304295.3</v>
      </c>
      <c r="H105" s="10">
        <v>285082.08</v>
      </c>
      <c r="I105" s="10">
        <v>8969.7999999999993</v>
      </c>
      <c r="J105" s="10">
        <v>10617717.779999999</v>
      </c>
      <c r="K105" s="11">
        <v>15304869.5</v>
      </c>
    </row>
    <row r="106" spans="1:11" x14ac:dyDescent="0.35">
      <c r="A106" s="7">
        <v>43344</v>
      </c>
      <c r="B106" s="11">
        <v>1091533.8600000001</v>
      </c>
      <c r="C106" s="10">
        <v>545135</v>
      </c>
      <c r="D106" s="10">
        <v>118992.2</v>
      </c>
      <c r="E106" s="10">
        <v>446535.1</v>
      </c>
      <c r="F106" s="10">
        <v>234214.15</v>
      </c>
      <c r="G106" s="10">
        <v>365364.07</v>
      </c>
      <c r="H106" s="10">
        <v>258351.89</v>
      </c>
      <c r="I106" s="10">
        <v>2678.09</v>
      </c>
      <c r="J106" s="10">
        <v>13345259.189999999</v>
      </c>
      <c r="K106" s="11">
        <f t="shared" si="5"/>
        <v>16408063.549999999</v>
      </c>
    </row>
    <row r="107" spans="1:11" x14ac:dyDescent="0.35">
      <c r="A107" s="7">
        <v>43374</v>
      </c>
      <c r="B107" s="11">
        <v>852610.58</v>
      </c>
      <c r="C107" s="10">
        <v>294231.65000000002</v>
      </c>
      <c r="D107" s="10">
        <v>197707.07</v>
      </c>
      <c r="E107" s="10">
        <v>434850.35</v>
      </c>
      <c r="F107" s="10">
        <v>219347.18</v>
      </c>
      <c r="G107" s="10">
        <v>666731.18000000005</v>
      </c>
      <c r="H107" s="10">
        <v>225342.33</v>
      </c>
      <c r="I107" s="10">
        <v>4170.3</v>
      </c>
      <c r="J107" s="10">
        <v>12685146.789999999</v>
      </c>
      <c r="K107" s="11">
        <f t="shared" si="5"/>
        <v>15580137.43</v>
      </c>
    </row>
    <row r="108" spans="1:11" x14ac:dyDescent="0.35">
      <c r="A108" s="7">
        <v>43405</v>
      </c>
      <c r="B108" s="11">
        <v>898855.64</v>
      </c>
      <c r="C108" s="10">
        <v>351567.85</v>
      </c>
      <c r="D108" s="10">
        <v>80765.850000000006</v>
      </c>
      <c r="E108" s="10">
        <v>404116.52</v>
      </c>
      <c r="F108" s="10">
        <v>147184.85999999999</v>
      </c>
      <c r="G108" s="10">
        <v>525945.02</v>
      </c>
      <c r="H108" s="10">
        <v>284162.28000000003</v>
      </c>
      <c r="I108" s="10">
        <v>3055.24</v>
      </c>
      <c r="J108" s="10">
        <v>12389164.579999998</v>
      </c>
      <c r="K108" s="11">
        <f t="shared" si="5"/>
        <v>15084817.84</v>
      </c>
    </row>
    <row r="109" spans="1:11" ht="15" thickBot="1" x14ac:dyDescent="0.4">
      <c r="A109" s="15">
        <v>43435</v>
      </c>
      <c r="B109" s="54">
        <v>1644636.9</v>
      </c>
      <c r="C109" s="74">
        <v>619587.06000000006</v>
      </c>
      <c r="D109" s="74">
        <v>219650.65</v>
      </c>
      <c r="E109" s="74">
        <v>579242.15</v>
      </c>
      <c r="F109" s="74">
        <v>164680.26</v>
      </c>
      <c r="G109" s="74">
        <v>507181.23</v>
      </c>
      <c r="H109" s="74">
        <v>197185.08</v>
      </c>
      <c r="I109" s="74">
        <v>3668.23</v>
      </c>
      <c r="J109" s="74">
        <v>14336342.580000002</v>
      </c>
      <c r="K109" s="54">
        <f t="shared" si="5"/>
        <v>18272174.140000001</v>
      </c>
    </row>
    <row r="110" spans="1:11" x14ac:dyDescent="0.35">
      <c r="A110" s="42">
        <v>43484</v>
      </c>
      <c r="B110" s="37">
        <v>2154125.7799999998</v>
      </c>
      <c r="C110" s="44">
        <v>356156.3</v>
      </c>
      <c r="D110" s="45">
        <v>167056.25</v>
      </c>
      <c r="E110" s="45">
        <v>420752.33</v>
      </c>
      <c r="F110" s="45">
        <v>184602.42</v>
      </c>
      <c r="G110" s="45">
        <v>262656.7</v>
      </c>
      <c r="H110" s="45">
        <v>302782.33</v>
      </c>
      <c r="I110" s="45">
        <v>4974.74</v>
      </c>
      <c r="J110" s="45">
        <v>15810516.65</v>
      </c>
      <c r="K110" s="70">
        <f>SUM(B110:J110)</f>
        <v>19663623.5</v>
      </c>
    </row>
    <row r="111" spans="1:11" x14ac:dyDescent="0.35">
      <c r="A111" s="7">
        <v>43515</v>
      </c>
      <c r="B111" s="11">
        <v>890188.13</v>
      </c>
      <c r="C111" s="9">
        <v>392292.83</v>
      </c>
      <c r="D111" s="10">
        <v>82731.649999999994</v>
      </c>
      <c r="E111" s="10">
        <v>391431.65</v>
      </c>
      <c r="F111" s="10">
        <v>217606.29</v>
      </c>
      <c r="G111" s="10">
        <v>482028.71</v>
      </c>
      <c r="H111" s="10">
        <v>235795.55</v>
      </c>
      <c r="I111" s="10">
        <v>12544.05</v>
      </c>
      <c r="J111" s="10">
        <v>12542230.879999999</v>
      </c>
      <c r="K111" s="11">
        <v>15246849.739999998</v>
      </c>
    </row>
    <row r="112" spans="1:11" x14ac:dyDescent="0.35">
      <c r="A112" s="7">
        <v>43543</v>
      </c>
      <c r="B112" s="11">
        <v>886413.37</v>
      </c>
      <c r="C112" s="9">
        <v>437028.31</v>
      </c>
      <c r="D112" s="10">
        <v>61127.25</v>
      </c>
      <c r="E112" s="10">
        <v>419795.92</v>
      </c>
      <c r="F112" s="10">
        <v>191916.31</v>
      </c>
      <c r="G112" s="10">
        <v>1024344.65</v>
      </c>
      <c r="H112" s="10">
        <v>280375.43</v>
      </c>
      <c r="I112" s="10">
        <v>15917.5</v>
      </c>
      <c r="J112" s="10">
        <v>13352256.99</v>
      </c>
      <c r="K112" s="11">
        <v>16669175.73</v>
      </c>
    </row>
    <row r="113" spans="1:11" x14ac:dyDescent="0.35">
      <c r="A113" s="7">
        <v>43574</v>
      </c>
      <c r="B113" s="100">
        <v>809563.01</v>
      </c>
      <c r="C113" s="100">
        <v>336566.04</v>
      </c>
      <c r="D113" s="100">
        <v>73146</v>
      </c>
      <c r="E113" s="100">
        <v>476619.9</v>
      </c>
      <c r="F113" s="100">
        <v>274308.02</v>
      </c>
      <c r="G113" s="100">
        <v>1037857.77</v>
      </c>
      <c r="H113" s="100">
        <v>208387.57</v>
      </c>
      <c r="I113" s="100">
        <v>10729.47</v>
      </c>
      <c r="J113" s="100">
        <f>152920.68+13049540.03+15035.15</f>
        <v>13217495.859999999</v>
      </c>
      <c r="K113" s="11">
        <f t="shared" ref="K113:K121" si="6">SUM(B113:J113)</f>
        <v>16444673.640000001</v>
      </c>
    </row>
    <row r="114" spans="1:11" x14ac:dyDescent="0.35">
      <c r="A114" s="7">
        <v>43604</v>
      </c>
      <c r="B114" s="11">
        <v>983082.2</v>
      </c>
      <c r="C114" s="9">
        <v>341933.72</v>
      </c>
      <c r="D114" s="10">
        <v>187860.37</v>
      </c>
      <c r="E114" s="10">
        <v>485789.34</v>
      </c>
      <c r="F114" s="10">
        <v>181781.19</v>
      </c>
      <c r="G114" s="10">
        <v>898197.61</v>
      </c>
      <c r="H114" s="10">
        <v>255480.02</v>
      </c>
      <c r="I114" s="10">
        <v>14987.34</v>
      </c>
      <c r="J114" s="10">
        <f>15615093.34+16001.18+141669.18</f>
        <v>15772763.699999999</v>
      </c>
      <c r="K114" s="11">
        <f t="shared" si="6"/>
        <v>19121875.489999998</v>
      </c>
    </row>
    <row r="115" spans="1:11" x14ac:dyDescent="0.35">
      <c r="A115" s="7">
        <v>43635</v>
      </c>
      <c r="B115" s="11">
        <v>1008298.65</v>
      </c>
      <c r="C115" s="9">
        <v>421851.15</v>
      </c>
      <c r="D115" s="10">
        <v>91140.64</v>
      </c>
      <c r="E115" s="10">
        <v>598134.1</v>
      </c>
      <c r="F115" s="10">
        <v>167922.95</v>
      </c>
      <c r="G115" s="10">
        <v>464825.37</v>
      </c>
      <c r="H115" s="10">
        <v>251616.9</v>
      </c>
      <c r="I115" s="10">
        <v>11769.38</v>
      </c>
      <c r="J115" s="10">
        <f>6645.36+14262296.86+19984.62</f>
        <v>14288926.839999998</v>
      </c>
      <c r="K115" s="11">
        <f t="shared" si="6"/>
        <v>17304485.979999997</v>
      </c>
    </row>
    <row r="116" spans="1:11" x14ac:dyDescent="0.35">
      <c r="A116" s="7">
        <v>43665</v>
      </c>
      <c r="B116" s="11">
        <v>830356.86</v>
      </c>
      <c r="C116" s="9">
        <v>357818.23</v>
      </c>
      <c r="D116" s="10">
        <v>82429.240000000005</v>
      </c>
      <c r="E116" s="10">
        <v>417011.64</v>
      </c>
      <c r="F116" s="10">
        <v>146158.72</v>
      </c>
      <c r="G116" s="10">
        <v>314985.57</v>
      </c>
      <c r="H116" s="10">
        <v>323904.49</v>
      </c>
      <c r="I116" s="10">
        <v>10010.75</v>
      </c>
      <c r="J116" s="10">
        <v>12641455.029999997</v>
      </c>
      <c r="K116" s="11">
        <f t="shared" si="6"/>
        <v>15124130.529999997</v>
      </c>
    </row>
    <row r="117" spans="1:11" x14ac:dyDescent="0.35">
      <c r="A117" s="7">
        <v>43696</v>
      </c>
      <c r="B117" s="100">
        <v>1940542.02</v>
      </c>
      <c r="C117" s="100">
        <v>716008.51</v>
      </c>
      <c r="D117" s="100">
        <v>94144.39</v>
      </c>
      <c r="E117" s="100">
        <v>460586.59</v>
      </c>
      <c r="F117" s="100">
        <v>173326.67</v>
      </c>
      <c r="G117" s="100">
        <v>285492.21000000002</v>
      </c>
      <c r="H117" s="100">
        <v>251783.77</v>
      </c>
      <c r="I117" s="100">
        <v>9704.0300000000007</v>
      </c>
      <c r="J117" s="100">
        <f>604.89+12856695.74+15515.98</f>
        <v>12872816.610000001</v>
      </c>
      <c r="K117" s="11">
        <f t="shared" si="6"/>
        <v>16804404.800000001</v>
      </c>
    </row>
    <row r="118" spans="1:11" x14ac:dyDescent="0.35">
      <c r="A118" s="7">
        <v>43727</v>
      </c>
      <c r="B118" s="11">
        <v>1525363.65</v>
      </c>
      <c r="C118" s="9">
        <v>623824.81999999995</v>
      </c>
      <c r="D118" s="10">
        <v>47729.05</v>
      </c>
      <c r="E118" s="10">
        <v>567917.93999999994</v>
      </c>
      <c r="F118" s="10">
        <v>246063.96</v>
      </c>
      <c r="G118" s="10">
        <v>358613</v>
      </c>
      <c r="H118" s="10">
        <v>219222.52</v>
      </c>
      <c r="I118" s="10">
        <v>8513.94</v>
      </c>
      <c r="J118" s="10">
        <v>13797970.140000001</v>
      </c>
      <c r="K118" s="11">
        <f t="shared" si="6"/>
        <v>17395219.02</v>
      </c>
    </row>
    <row r="119" spans="1:11" x14ac:dyDescent="0.35">
      <c r="A119" s="7">
        <v>43757</v>
      </c>
      <c r="B119" s="11">
        <v>822901.12</v>
      </c>
      <c r="C119" s="9">
        <v>359787.61</v>
      </c>
      <c r="D119" s="10">
        <v>95923.9</v>
      </c>
      <c r="E119" s="10">
        <v>497371.06</v>
      </c>
      <c r="F119" s="10">
        <v>184837.66</v>
      </c>
      <c r="G119" s="10">
        <v>713465.52</v>
      </c>
      <c r="H119" s="10">
        <v>244494.23</v>
      </c>
      <c r="I119" s="10">
        <v>4626.18</v>
      </c>
      <c r="J119" s="10">
        <v>13565804.810000001</v>
      </c>
      <c r="K119" s="11">
        <f t="shared" si="6"/>
        <v>16489212.09</v>
      </c>
    </row>
    <row r="120" spans="1:11" x14ac:dyDescent="0.35">
      <c r="A120" s="7">
        <v>43788</v>
      </c>
      <c r="B120" s="11">
        <v>839901.54</v>
      </c>
      <c r="C120" s="9">
        <v>379911.9</v>
      </c>
      <c r="D120" s="10">
        <v>55397.63</v>
      </c>
      <c r="E120" s="10">
        <v>518334.07</v>
      </c>
      <c r="F120" s="10">
        <v>164343.57999999999</v>
      </c>
      <c r="G120" s="10">
        <v>490769.09</v>
      </c>
      <c r="H120" s="10">
        <v>258099.65</v>
      </c>
      <c r="I120" s="10">
        <v>2998.5</v>
      </c>
      <c r="J120" s="10">
        <v>13993200.280000001</v>
      </c>
      <c r="K120" s="11">
        <f t="shared" si="6"/>
        <v>16702956.240000002</v>
      </c>
    </row>
    <row r="121" spans="1:11" ht="15" thickBot="1" x14ac:dyDescent="0.4">
      <c r="A121" s="15">
        <v>43818</v>
      </c>
      <c r="B121" s="54">
        <v>1316610.06</v>
      </c>
      <c r="C121" s="73">
        <v>594414.67000000004</v>
      </c>
      <c r="D121" s="74">
        <v>95603.45</v>
      </c>
      <c r="E121" s="74">
        <v>379681.38</v>
      </c>
      <c r="F121" s="74">
        <v>198006.11</v>
      </c>
      <c r="G121" s="74">
        <v>549117.94999999995</v>
      </c>
      <c r="H121" s="74">
        <v>225641</v>
      </c>
      <c r="I121" s="74">
        <v>6939.94</v>
      </c>
      <c r="J121" s="74">
        <f>514.63+15132147.17+16534.2</f>
        <v>15149196</v>
      </c>
      <c r="K121" s="54">
        <f t="shared" si="6"/>
        <v>18515210.559999999</v>
      </c>
    </row>
    <row r="122" spans="1:11" x14ac:dyDescent="0.35">
      <c r="A122" s="53">
        <v>43849</v>
      </c>
      <c r="B122" s="132">
        <v>2455667.35</v>
      </c>
      <c r="C122" s="132">
        <v>319002.69</v>
      </c>
      <c r="D122" s="132">
        <v>59996.57</v>
      </c>
      <c r="E122" s="132">
        <v>391021.39</v>
      </c>
      <c r="F122" s="132">
        <v>202383.96</v>
      </c>
      <c r="G122" s="132">
        <v>222819.86</v>
      </c>
      <c r="H122" s="132">
        <v>321154.81</v>
      </c>
      <c r="I122" s="132">
        <v>5408.06</v>
      </c>
      <c r="J122" s="132">
        <v>12773532.060000001</v>
      </c>
      <c r="K122" s="70">
        <f>SUM(B122:J122)</f>
        <v>16750986.75</v>
      </c>
    </row>
    <row r="123" spans="1:11" x14ac:dyDescent="0.35">
      <c r="A123" s="7">
        <v>43880</v>
      </c>
      <c r="B123" s="11">
        <v>821792.11</v>
      </c>
      <c r="C123" s="11">
        <v>53460.17</v>
      </c>
      <c r="D123" s="11">
        <v>38912.75</v>
      </c>
      <c r="E123" s="11">
        <v>386961.42</v>
      </c>
      <c r="F123" s="11">
        <v>706110.25</v>
      </c>
      <c r="G123" s="11">
        <v>396738.53</v>
      </c>
      <c r="H123" s="11">
        <v>265541.34999999998</v>
      </c>
      <c r="I123" s="11">
        <v>4343.3</v>
      </c>
      <c r="J123" s="11">
        <v>12320840.739999998</v>
      </c>
      <c r="K123" s="11">
        <f t="shared" ref="K123:K145" si="7">SUM(B123:J123)</f>
        <v>14994700.619999997</v>
      </c>
    </row>
    <row r="124" spans="1:11" x14ac:dyDescent="0.35">
      <c r="A124" s="7">
        <v>43909</v>
      </c>
      <c r="B124" s="11">
        <v>663020.80000000005</v>
      </c>
      <c r="C124" s="11">
        <v>123138.17</v>
      </c>
      <c r="D124" s="11">
        <v>91884.65</v>
      </c>
      <c r="E124" s="11">
        <v>469447.02</v>
      </c>
      <c r="F124" s="11">
        <v>213533.11</v>
      </c>
      <c r="G124" s="11">
        <v>1039733.17</v>
      </c>
      <c r="H124" s="11">
        <v>306401.15999999997</v>
      </c>
      <c r="I124" s="11">
        <v>9191.01</v>
      </c>
      <c r="J124" s="11">
        <v>13254293.219999999</v>
      </c>
      <c r="K124" s="11">
        <f t="shared" si="7"/>
        <v>16170642.309999999</v>
      </c>
    </row>
    <row r="125" spans="1:11" x14ac:dyDescent="0.35">
      <c r="A125" s="7">
        <v>43940</v>
      </c>
      <c r="B125" s="11">
        <v>233433.05</v>
      </c>
      <c r="C125" s="11">
        <v>529171.06999999995</v>
      </c>
      <c r="D125" s="11">
        <v>50956.05</v>
      </c>
      <c r="E125" s="11">
        <v>216829.01</v>
      </c>
      <c r="F125" s="11">
        <v>144353.70000000001</v>
      </c>
      <c r="G125" s="11">
        <v>1285986.69</v>
      </c>
      <c r="H125" s="11">
        <v>248408.11</v>
      </c>
      <c r="I125" s="11">
        <v>7620.74</v>
      </c>
      <c r="J125" s="11">
        <v>9494242.7699999996</v>
      </c>
      <c r="K125" s="11">
        <f t="shared" si="7"/>
        <v>12211001.189999999</v>
      </c>
    </row>
    <row r="126" spans="1:11" x14ac:dyDescent="0.35">
      <c r="A126" s="7">
        <v>43970</v>
      </c>
      <c r="B126" s="11">
        <v>610284</v>
      </c>
      <c r="C126" s="11">
        <v>356842</v>
      </c>
      <c r="D126" s="11">
        <v>61433</v>
      </c>
      <c r="E126" s="11">
        <v>408093.68</v>
      </c>
      <c r="F126" s="11">
        <v>198535.46</v>
      </c>
      <c r="G126" s="11">
        <v>1218117.4099999999</v>
      </c>
      <c r="H126" s="11">
        <v>224289.52</v>
      </c>
      <c r="I126" s="11">
        <v>17879.73</v>
      </c>
      <c r="J126" s="11">
        <v>5145252.29</v>
      </c>
      <c r="K126" s="11">
        <f t="shared" si="7"/>
        <v>8240727.0899999999</v>
      </c>
    </row>
    <row r="127" spans="1:11" x14ac:dyDescent="0.35">
      <c r="A127" s="7">
        <v>44001</v>
      </c>
      <c r="B127" s="11">
        <v>811358</v>
      </c>
      <c r="C127" s="11">
        <v>405914.49</v>
      </c>
      <c r="D127" s="11">
        <v>81159.600000000006</v>
      </c>
      <c r="E127" s="11">
        <v>520431.53</v>
      </c>
      <c r="F127" s="11">
        <v>255253.65</v>
      </c>
      <c r="G127" s="11">
        <v>385183.4</v>
      </c>
      <c r="H127" s="11">
        <v>242284.96</v>
      </c>
      <c r="I127" s="11">
        <v>13868.14</v>
      </c>
      <c r="J127" s="11">
        <v>7782542.2999999998</v>
      </c>
      <c r="K127" s="11">
        <f t="shared" si="7"/>
        <v>10497996.07</v>
      </c>
    </row>
    <row r="128" spans="1:11" x14ac:dyDescent="0.35">
      <c r="A128" s="7">
        <v>44031</v>
      </c>
      <c r="B128" s="11">
        <v>735745.32</v>
      </c>
      <c r="C128" s="11">
        <v>343474.67</v>
      </c>
      <c r="D128" s="11">
        <v>102647.52</v>
      </c>
      <c r="E128" s="11">
        <v>571758.79</v>
      </c>
      <c r="F128" s="11">
        <v>280971.65999999997</v>
      </c>
      <c r="G128" s="11">
        <v>343056.55</v>
      </c>
      <c r="H128" s="11">
        <v>269203.06</v>
      </c>
      <c r="I128" s="11">
        <v>12368.69</v>
      </c>
      <c r="J128" s="11">
        <v>11893570.860000001</v>
      </c>
      <c r="K128" s="11">
        <f t="shared" si="7"/>
        <v>14552797.120000001</v>
      </c>
    </row>
    <row r="129" spans="1:11" x14ac:dyDescent="0.35">
      <c r="A129" s="7">
        <v>44062</v>
      </c>
      <c r="B129" s="11">
        <v>1983988.92</v>
      </c>
      <c r="C129" s="11">
        <v>243527.11</v>
      </c>
      <c r="D129" s="11">
        <v>70224.25</v>
      </c>
      <c r="E129" s="11">
        <v>370014.31</v>
      </c>
      <c r="F129" s="11">
        <v>277550</v>
      </c>
      <c r="G129" s="11">
        <v>302214.28999999998</v>
      </c>
      <c r="H129" s="11">
        <v>315434.83</v>
      </c>
      <c r="I129" s="11">
        <v>6973.77</v>
      </c>
      <c r="J129" s="11">
        <v>10255644.960000001</v>
      </c>
      <c r="K129" s="11">
        <f t="shared" si="7"/>
        <v>13825572.440000001</v>
      </c>
    </row>
    <row r="130" spans="1:11" x14ac:dyDescent="0.35">
      <c r="A130" s="7">
        <v>44093</v>
      </c>
      <c r="B130" s="11">
        <v>1129817.23</v>
      </c>
      <c r="C130" s="11">
        <v>404711.02</v>
      </c>
      <c r="D130" s="11">
        <v>73639.3</v>
      </c>
      <c r="E130" s="11">
        <v>567746.54</v>
      </c>
      <c r="F130" s="11">
        <v>278526.01</v>
      </c>
      <c r="G130" s="11">
        <v>498876.26</v>
      </c>
      <c r="H130" s="11">
        <v>338880.72</v>
      </c>
      <c r="I130" s="11">
        <v>6219.38</v>
      </c>
      <c r="J130" s="11">
        <v>12789056.6</v>
      </c>
      <c r="K130" s="11">
        <f t="shared" si="7"/>
        <v>16087473.059999999</v>
      </c>
    </row>
    <row r="131" spans="1:11" x14ac:dyDescent="0.35">
      <c r="A131" s="7">
        <v>44123</v>
      </c>
      <c r="B131" s="11">
        <v>697329.27</v>
      </c>
      <c r="C131" s="11">
        <v>370359.03</v>
      </c>
      <c r="D131" s="11">
        <v>65810.100000000006</v>
      </c>
      <c r="E131" s="11">
        <v>540416.03</v>
      </c>
      <c r="F131" s="11">
        <v>218981.08</v>
      </c>
      <c r="G131" s="11">
        <v>824463.93</v>
      </c>
      <c r="H131" s="11">
        <v>273957.75</v>
      </c>
      <c r="I131" s="11">
        <v>4368.37</v>
      </c>
      <c r="J131" s="11">
        <v>25146484.789999999</v>
      </c>
      <c r="K131" s="11">
        <f t="shared" si="7"/>
        <v>28142170.350000001</v>
      </c>
    </row>
    <row r="132" spans="1:11" x14ac:dyDescent="0.35">
      <c r="A132" s="7">
        <v>44154</v>
      </c>
      <c r="B132" s="11">
        <v>805711.63</v>
      </c>
      <c r="C132" s="11">
        <v>236816.59</v>
      </c>
      <c r="D132" s="11">
        <v>68791.149999999994</v>
      </c>
      <c r="E132" s="11">
        <v>588557.07999999996</v>
      </c>
      <c r="F132" s="11">
        <v>200999.39</v>
      </c>
      <c r="G132" s="11">
        <v>496730.36</v>
      </c>
      <c r="H132" s="11">
        <v>217016.59</v>
      </c>
      <c r="I132" s="11">
        <v>4364.8599999999997</v>
      </c>
      <c r="J132" s="11">
        <v>20234441.07</v>
      </c>
      <c r="K132" s="11">
        <f t="shared" si="7"/>
        <v>22853428.719999999</v>
      </c>
    </row>
    <row r="133" spans="1:11" ht="15" thickBot="1" x14ac:dyDescent="0.4">
      <c r="A133" s="15">
        <v>44184</v>
      </c>
      <c r="B133" s="54">
        <v>1523134.57</v>
      </c>
      <c r="C133" s="54">
        <v>843799.39</v>
      </c>
      <c r="D133" s="54">
        <v>75283</v>
      </c>
      <c r="E133" s="54">
        <v>474589.63</v>
      </c>
      <c r="F133" s="54">
        <v>264528.38</v>
      </c>
      <c r="G133" s="54">
        <v>622317.84</v>
      </c>
      <c r="H133" s="54">
        <v>385462.56</v>
      </c>
      <c r="I133" s="54">
        <v>6760.97</v>
      </c>
      <c r="J133" s="54">
        <v>22271723.27</v>
      </c>
      <c r="K133" s="54">
        <f t="shared" si="7"/>
        <v>26467599.609999999</v>
      </c>
    </row>
    <row r="134" spans="1:11" x14ac:dyDescent="0.35">
      <c r="A134" s="53">
        <v>44215</v>
      </c>
      <c r="B134" s="132">
        <v>1474255.91</v>
      </c>
      <c r="C134" s="132">
        <v>346306.06</v>
      </c>
      <c r="D134" s="132">
        <v>119611</v>
      </c>
      <c r="E134" s="132">
        <v>313559.45</v>
      </c>
      <c r="F134" s="132">
        <v>234475.67</v>
      </c>
      <c r="G134" s="132">
        <v>248158.5</v>
      </c>
      <c r="H134" s="132">
        <v>447346.62</v>
      </c>
      <c r="I134" s="132">
        <v>7328.16</v>
      </c>
      <c r="J134" s="132">
        <f>11409555+12910692.5+19229.7+855.78</f>
        <v>24340332.98</v>
      </c>
      <c r="K134" s="70">
        <f>SUM(B134:J134)</f>
        <v>27531374.350000001</v>
      </c>
    </row>
    <row r="135" spans="1:11" x14ac:dyDescent="0.35">
      <c r="A135" s="7">
        <v>44246</v>
      </c>
      <c r="B135" s="11">
        <v>1052155.74</v>
      </c>
      <c r="C135" s="11">
        <v>315917.64</v>
      </c>
      <c r="D135" s="11">
        <v>103059</v>
      </c>
      <c r="E135" s="11">
        <v>474190.23</v>
      </c>
      <c r="F135" s="11">
        <v>242548.69</v>
      </c>
      <c r="G135" s="11">
        <v>315263.38</v>
      </c>
      <c r="H135" s="11">
        <v>344579.41</v>
      </c>
      <c r="I135" s="11">
        <v>9465.33</v>
      </c>
      <c r="J135" s="11">
        <v>20728433.379999999</v>
      </c>
      <c r="K135" s="11">
        <f t="shared" si="7"/>
        <v>23585612.799999997</v>
      </c>
    </row>
    <row r="136" spans="1:11" x14ac:dyDescent="0.35">
      <c r="A136" s="7">
        <v>44274</v>
      </c>
      <c r="B136" s="11">
        <v>1047699.42</v>
      </c>
      <c r="C136" s="11">
        <v>544018.61</v>
      </c>
      <c r="D136" s="11">
        <v>67703.13</v>
      </c>
      <c r="E136" s="11">
        <v>512080.28</v>
      </c>
      <c r="F136" s="11">
        <v>350187.01</v>
      </c>
      <c r="G136" s="11">
        <v>1901924.04</v>
      </c>
      <c r="H136" s="11">
        <v>331324.55</v>
      </c>
      <c r="I136" s="11">
        <v>18415.68</v>
      </c>
      <c r="J136" s="11">
        <v>20928557.93</v>
      </c>
      <c r="K136" s="11">
        <f t="shared" si="7"/>
        <v>25701910.649999999</v>
      </c>
    </row>
    <row r="137" spans="1:11" x14ac:dyDescent="0.35">
      <c r="A137" s="7">
        <v>44305</v>
      </c>
      <c r="B137" s="11">
        <v>841295.04</v>
      </c>
      <c r="C137" s="11">
        <v>501526.81</v>
      </c>
      <c r="D137" s="11">
        <v>69585.38</v>
      </c>
      <c r="E137" s="11">
        <v>791524.91</v>
      </c>
      <c r="F137" s="11">
        <v>284481.18</v>
      </c>
      <c r="G137" s="11">
        <v>1770919.66</v>
      </c>
      <c r="H137" s="11">
        <v>305220.84999999998</v>
      </c>
      <c r="I137" s="11">
        <v>12918.13</v>
      </c>
      <c r="J137" s="11">
        <v>33091102.039999999</v>
      </c>
      <c r="K137" s="11">
        <f t="shared" si="7"/>
        <v>37668574</v>
      </c>
    </row>
    <row r="138" spans="1:11" x14ac:dyDescent="0.35">
      <c r="A138" s="7">
        <v>44335</v>
      </c>
      <c r="B138" s="11">
        <v>942812.62</v>
      </c>
      <c r="C138" s="11">
        <v>420047.72</v>
      </c>
      <c r="D138" s="11">
        <v>56260.23</v>
      </c>
      <c r="E138" s="11">
        <v>606235.93000000005</v>
      </c>
      <c r="F138" s="11">
        <v>303694.05</v>
      </c>
      <c r="G138" s="11">
        <v>1273790.32</v>
      </c>
      <c r="H138" s="11">
        <v>315011.18</v>
      </c>
      <c r="I138" s="11">
        <v>11005.37</v>
      </c>
      <c r="J138" s="11">
        <v>22483146.020000003</v>
      </c>
      <c r="K138" s="11">
        <v>26412003.440000005</v>
      </c>
    </row>
    <row r="139" spans="1:11" x14ac:dyDescent="0.35">
      <c r="A139" s="7">
        <v>44366</v>
      </c>
      <c r="B139" s="11">
        <v>1053784.48</v>
      </c>
      <c r="C139" s="11">
        <v>478272.52</v>
      </c>
      <c r="D139" s="11">
        <v>114517.82</v>
      </c>
      <c r="E139" s="11">
        <v>544901.01</v>
      </c>
      <c r="F139" s="11">
        <v>286479.34000000003</v>
      </c>
      <c r="G139" s="11">
        <v>463414.23</v>
      </c>
      <c r="H139" s="11">
        <v>256736.35</v>
      </c>
      <c r="I139" s="11">
        <v>12306.86</v>
      </c>
      <c r="J139" s="11">
        <v>27220535.300000001</v>
      </c>
      <c r="K139" s="11">
        <f t="shared" si="7"/>
        <v>30430947.91</v>
      </c>
    </row>
    <row r="140" spans="1:11" x14ac:dyDescent="0.35">
      <c r="A140" s="7">
        <v>44396</v>
      </c>
      <c r="B140" s="11">
        <v>949815.25</v>
      </c>
      <c r="C140" s="11">
        <v>438212.38</v>
      </c>
      <c r="D140" s="11">
        <v>56059.11</v>
      </c>
      <c r="E140" s="11">
        <v>457370.55</v>
      </c>
      <c r="F140" s="11">
        <v>239074.18</v>
      </c>
      <c r="G140" s="11">
        <v>416448.67</v>
      </c>
      <c r="H140" s="11">
        <v>374671.39</v>
      </c>
      <c r="I140" s="11">
        <v>9262.58</v>
      </c>
      <c r="J140" s="11">
        <v>23520736.440000001</v>
      </c>
      <c r="K140" s="11">
        <f t="shared" si="7"/>
        <v>26461650.550000001</v>
      </c>
    </row>
    <row r="141" spans="1:11" x14ac:dyDescent="0.35">
      <c r="A141" s="7">
        <v>44427</v>
      </c>
      <c r="B141" s="11">
        <v>2025481.28</v>
      </c>
      <c r="C141" s="11">
        <v>681143.35</v>
      </c>
      <c r="D141" s="11">
        <v>59099.1</v>
      </c>
      <c r="E141" s="11">
        <v>587638.91</v>
      </c>
      <c r="F141" s="11">
        <v>256475.15</v>
      </c>
      <c r="G141" s="11">
        <v>382723.43</v>
      </c>
      <c r="H141" s="11">
        <v>386021.77</v>
      </c>
      <c r="I141" s="11">
        <v>6318.56</v>
      </c>
      <c r="J141" s="11">
        <v>21198681.810000002</v>
      </c>
      <c r="K141" s="11">
        <f t="shared" si="7"/>
        <v>25583583.360000003</v>
      </c>
    </row>
    <row r="142" spans="1:11" x14ac:dyDescent="0.35">
      <c r="A142" s="7">
        <v>44458</v>
      </c>
      <c r="B142" s="11">
        <v>1407620.73</v>
      </c>
      <c r="C142" s="11">
        <v>937085.39</v>
      </c>
      <c r="D142" s="11">
        <v>51848.18</v>
      </c>
      <c r="E142" s="11">
        <v>703080.07</v>
      </c>
      <c r="F142" s="11">
        <v>376472.45</v>
      </c>
      <c r="G142" s="11">
        <v>613256.31999999995</v>
      </c>
      <c r="H142" s="11">
        <v>309648.31</v>
      </c>
      <c r="I142" s="11">
        <v>8971.17</v>
      </c>
      <c r="J142" s="11">
        <v>22551141.629999999</v>
      </c>
      <c r="K142" s="11">
        <f t="shared" si="7"/>
        <v>26959124.25</v>
      </c>
    </row>
    <row r="143" spans="1:11" x14ac:dyDescent="0.35">
      <c r="A143" s="7">
        <v>44488</v>
      </c>
      <c r="B143" s="11">
        <v>914420.85</v>
      </c>
      <c r="C143" s="11">
        <v>501302.18</v>
      </c>
      <c r="D143" s="11">
        <v>57122.58</v>
      </c>
      <c r="E143" s="11">
        <v>944051.89</v>
      </c>
      <c r="F143" s="11">
        <v>1765881.58</v>
      </c>
      <c r="G143" s="11">
        <v>1062967.3</v>
      </c>
      <c r="H143" s="11">
        <v>367763.69</v>
      </c>
      <c r="I143" s="11">
        <v>4887.3500000000004</v>
      </c>
      <c r="J143" s="11">
        <v>23900044.980000004</v>
      </c>
      <c r="K143" s="11">
        <f t="shared" si="7"/>
        <v>29518442.400000006</v>
      </c>
    </row>
    <row r="144" spans="1:11" x14ac:dyDescent="0.35">
      <c r="A144" s="7">
        <v>44519</v>
      </c>
      <c r="B144" s="11">
        <v>1068627.27</v>
      </c>
      <c r="C144" s="11">
        <v>515496.63400000002</v>
      </c>
      <c r="D144" s="11">
        <v>62482.94</v>
      </c>
      <c r="E144" s="11">
        <v>679332.06</v>
      </c>
      <c r="F144" s="11">
        <v>786968.39</v>
      </c>
      <c r="G144" s="11">
        <v>724635.64</v>
      </c>
      <c r="H144" s="11">
        <v>276598.28000000003</v>
      </c>
      <c r="I144" s="11">
        <v>4810.2</v>
      </c>
      <c r="J144" s="11">
        <v>24657085.420000002</v>
      </c>
      <c r="K144" s="11">
        <f t="shared" si="7"/>
        <v>28776036.834000003</v>
      </c>
    </row>
    <row r="145" spans="1:11" ht="15" thickBot="1" x14ac:dyDescent="0.4">
      <c r="A145" s="15">
        <v>44549</v>
      </c>
      <c r="B145" s="54">
        <v>1885400.56</v>
      </c>
      <c r="C145" s="54">
        <v>672159.35</v>
      </c>
      <c r="D145" s="54">
        <v>51806.080000000002</v>
      </c>
      <c r="E145" s="54">
        <v>741441.41</v>
      </c>
      <c r="F145" s="54">
        <v>819050.16</v>
      </c>
      <c r="G145" s="54">
        <v>863184.46</v>
      </c>
      <c r="H145" s="54">
        <v>271588.64</v>
      </c>
      <c r="I145" s="54">
        <v>4927.87</v>
      </c>
      <c r="J145" s="54">
        <v>32382128.27</v>
      </c>
      <c r="K145" s="54">
        <f t="shared" si="7"/>
        <v>37691686.799999997</v>
      </c>
    </row>
    <row r="146" spans="1:11" x14ac:dyDescent="0.35">
      <c r="A146" s="53">
        <v>44583</v>
      </c>
      <c r="B146" s="132">
        <v>1791800.91</v>
      </c>
      <c r="C146" s="132">
        <v>403628.26</v>
      </c>
      <c r="D146" s="132">
        <v>48387.25</v>
      </c>
      <c r="E146" s="132">
        <v>498048.05</v>
      </c>
      <c r="F146" s="132">
        <v>779834.69</v>
      </c>
      <c r="G146" s="132">
        <v>252584</v>
      </c>
      <c r="H146" s="132">
        <v>406003.22</v>
      </c>
      <c r="I146" s="132">
        <v>8522.5</v>
      </c>
      <c r="J146" s="132">
        <v>25463381.009999998</v>
      </c>
      <c r="K146" s="70">
        <f>SUM(B146:J146)</f>
        <v>29652189.889999997</v>
      </c>
    </row>
    <row r="147" spans="1:11" x14ac:dyDescent="0.35">
      <c r="A147" s="7">
        <v>44614</v>
      </c>
      <c r="B147" s="11">
        <v>890852.52</v>
      </c>
      <c r="C147" s="11">
        <v>451526.43</v>
      </c>
      <c r="D147" s="11">
        <v>66953.850000000006</v>
      </c>
      <c r="E147" s="11">
        <v>729979.55</v>
      </c>
      <c r="F147" s="11">
        <v>720164.18</v>
      </c>
      <c r="G147" s="11">
        <v>506206.6</v>
      </c>
      <c r="H147" s="11">
        <v>455057.03</v>
      </c>
      <c r="I147" s="11">
        <v>9971.69</v>
      </c>
      <c r="J147" s="11">
        <v>23004301.640000001</v>
      </c>
      <c r="K147" s="11">
        <f t="shared" ref="K147:K150" si="8">SUM(B147:J147)</f>
        <v>26835013.490000002</v>
      </c>
    </row>
    <row r="148" spans="1:11" x14ac:dyDescent="0.35">
      <c r="A148" s="7">
        <v>44642</v>
      </c>
      <c r="B148" s="11">
        <v>947381.58</v>
      </c>
      <c r="C148" s="11">
        <v>448903.54</v>
      </c>
      <c r="D148" s="11">
        <v>85938.97</v>
      </c>
      <c r="E148" s="11">
        <v>759851.29</v>
      </c>
      <c r="F148" s="11">
        <v>856516.26</v>
      </c>
      <c r="G148" s="11">
        <v>1562729.11</v>
      </c>
      <c r="H148" s="11">
        <v>377031.38</v>
      </c>
      <c r="I148" s="11">
        <v>12221.52</v>
      </c>
      <c r="J148" s="11">
        <v>26750477.240000002</v>
      </c>
      <c r="K148" s="11">
        <f t="shared" si="8"/>
        <v>31801050.890000001</v>
      </c>
    </row>
    <row r="149" spans="1:11" x14ac:dyDescent="0.35">
      <c r="A149" s="7">
        <v>44673</v>
      </c>
      <c r="B149" s="11">
        <v>907911</v>
      </c>
      <c r="C149" s="11">
        <v>388392</v>
      </c>
      <c r="D149" s="11">
        <v>89686</v>
      </c>
      <c r="E149" s="11">
        <v>672466</v>
      </c>
      <c r="F149" s="11">
        <v>857024</v>
      </c>
      <c r="G149" s="11">
        <v>1936831</v>
      </c>
      <c r="H149" s="11">
        <v>328281</v>
      </c>
      <c r="I149" s="11">
        <v>15060</v>
      </c>
      <c r="J149" s="11">
        <v>27949309</v>
      </c>
      <c r="K149" s="11">
        <f t="shared" si="8"/>
        <v>33144960</v>
      </c>
    </row>
    <row r="150" spans="1:11" x14ac:dyDescent="0.35">
      <c r="A150" s="7">
        <v>44703</v>
      </c>
      <c r="B150" s="11">
        <v>934602</v>
      </c>
      <c r="C150" s="11">
        <v>374418.75</v>
      </c>
      <c r="D150" s="11">
        <v>64634.25</v>
      </c>
      <c r="E150" s="11">
        <v>679464</v>
      </c>
      <c r="F150" s="11">
        <v>816969.49</v>
      </c>
      <c r="G150" s="11">
        <v>1481485.83</v>
      </c>
      <c r="H150" s="11">
        <v>254265.02</v>
      </c>
      <c r="I150" s="11">
        <v>11303.66</v>
      </c>
      <c r="J150" s="11">
        <v>25146214</v>
      </c>
      <c r="K150" s="11">
        <f t="shared" si="8"/>
        <v>29763357</v>
      </c>
    </row>
    <row r="151" spans="1:11" x14ac:dyDescent="0.35">
      <c r="A151" s="7">
        <v>44734</v>
      </c>
      <c r="B151" s="11">
        <v>1017739</v>
      </c>
      <c r="C151" s="11">
        <v>468357</v>
      </c>
      <c r="D151" s="11">
        <v>65082</v>
      </c>
      <c r="E151" s="11">
        <v>710805</v>
      </c>
      <c r="F151" s="11">
        <v>824773</v>
      </c>
      <c r="G151" s="11">
        <v>495565</v>
      </c>
      <c r="H151" s="11">
        <v>354497</v>
      </c>
      <c r="I151" s="11">
        <v>11056</v>
      </c>
      <c r="J151" s="11">
        <v>24960482</v>
      </c>
      <c r="K151" s="11">
        <f t="shared" ref="K151:K157" si="9">SUM(B151:J151)</f>
        <v>28908356</v>
      </c>
    </row>
    <row r="152" spans="1:11" x14ac:dyDescent="0.35">
      <c r="A152" s="7">
        <v>44764</v>
      </c>
      <c r="B152" s="11">
        <v>996234</v>
      </c>
      <c r="C152" s="11">
        <v>388225</v>
      </c>
      <c r="D152" s="11">
        <v>95782</v>
      </c>
      <c r="E152" s="11">
        <v>426453</v>
      </c>
      <c r="F152" s="11">
        <v>801457</v>
      </c>
      <c r="G152" s="11">
        <v>358343</v>
      </c>
      <c r="H152" s="11">
        <v>238159</v>
      </c>
      <c r="I152" s="11">
        <v>6308</v>
      </c>
      <c r="J152" s="11">
        <v>26528798</v>
      </c>
      <c r="K152" s="11">
        <f t="shared" si="9"/>
        <v>29839759</v>
      </c>
    </row>
    <row r="153" spans="1:11" x14ac:dyDescent="0.35">
      <c r="A153" s="7">
        <v>44795</v>
      </c>
      <c r="B153" s="11">
        <v>2163831</v>
      </c>
      <c r="C153" s="11">
        <v>703604</v>
      </c>
      <c r="D153" s="11">
        <v>135441</v>
      </c>
      <c r="E153" s="11">
        <v>499054</v>
      </c>
      <c r="F153" s="11">
        <v>892367</v>
      </c>
      <c r="G153" s="11">
        <v>323573</v>
      </c>
      <c r="H153" s="11">
        <v>290484</v>
      </c>
      <c r="I153" s="11">
        <v>7941</v>
      </c>
      <c r="J153" s="11">
        <v>31438605</v>
      </c>
      <c r="K153" s="11">
        <f t="shared" si="9"/>
        <v>36454900</v>
      </c>
    </row>
    <row r="154" spans="1:11" x14ac:dyDescent="0.35">
      <c r="A154" s="7">
        <v>44826</v>
      </c>
      <c r="B154" s="11">
        <v>1349754.79</v>
      </c>
      <c r="C154" s="11">
        <v>900855.3</v>
      </c>
      <c r="D154" s="11">
        <v>79923.5</v>
      </c>
      <c r="E154" s="11">
        <v>594902.43999999994</v>
      </c>
      <c r="F154" s="11">
        <v>894072.67</v>
      </c>
      <c r="G154" s="11">
        <v>653664.06000000006</v>
      </c>
      <c r="H154" s="11">
        <v>257950.07999999999</v>
      </c>
      <c r="I154" s="11"/>
      <c r="J154" s="11">
        <v>26814083.059999999</v>
      </c>
      <c r="K154" s="11">
        <f t="shared" si="9"/>
        <v>31545205.899999999</v>
      </c>
    </row>
    <row r="155" spans="1:11" x14ac:dyDescent="0.35">
      <c r="A155" s="7">
        <v>44856</v>
      </c>
      <c r="B155" s="11">
        <v>864314</v>
      </c>
      <c r="C155" s="11">
        <v>424856</v>
      </c>
      <c r="D155" s="11">
        <v>60810</v>
      </c>
      <c r="E155" s="11">
        <v>597333</v>
      </c>
      <c r="F155" s="11">
        <v>855113</v>
      </c>
      <c r="G155" s="11">
        <v>1086657</v>
      </c>
      <c r="H155" s="11">
        <v>291419</v>
      </c>
      <c r="I155" s="11">
        <v>3593</v>
      </c>
      <c r="J155" s="11">
        <v>34919779</v>
      </c>
      <c r="K155" s="11">
        <f t="shared" si="9"/>
        <v>39103874</v>
      </c>
    </row>
    <row r="156" spans="1:11" x14ac:dyDescent="0.35">
      <c r="A156" s="7">
        <v>44887</v>
      </c>
      <c r="B156" s="11">
        <v>963255</v>
      </c>
      <c r="C156" s="11">
        <v>421506</v>
      </c>
      <c r="D156" s="11">
        <v>97604</v>
      </c>
      <c r="E156" s="11">
        <v>482655</v>
      </c>
      <c r="F156" s="11">
        <v>866525</v>
      </c>
      <c r="G156" s="11">
        <v>871679</v>
      </c>
      <c r="H156" s="11">
        <v>286815</v>
      </c>
      <c r="I156" s="11">
        <v>3555</v>
      </c>
      <c r="J156" s="11">
        <v>26145900</v>
      </c>
      <c r="K156" s="11">
        <f t="shared" si="9"/>
        <v>30139494</v>
      </c>
    </row>
    <row r="157" spans="1:11" ht="15" thickBot="1" x14ac:dyDescent="0.4">
      <c r="A157" s="15">
        <v>44917</v>
      </c>
      <c r="B157" s="54">
        <v>1810383</v>
      </c>
      <c r="C157" s="54">
        <v>778054</v>
      </c>
      <c r="D157" s="54">
        <v>58808</v>
      </c>
      <c r="E157" s="54">
        <v>604751</v>
      </c>
      <c r="F157" s="54">
        <v>876190</v>
      </c>
      <c r="G157" s="54">
        <v>818187</v>
      </c>
      <c r="H157" s="54">
        <v>273079</v>
      </c>
      <c r="I157" s="54">
        <v>9082</v>
      </c>
      <c r="J157" s="54">
        <v>34919535</v>
      </c>
      <c r="K157" s="54">
        <f t="shared" si="9"/>
        <v>40148069</v>
      </c>
    </row>
    <row r="158" spans="1:11" x14ac:dyDescent="0.35">
      <c r="A158" s="53">
        <v>44948</v>
      </c>
      <c r="B158" s="132">
        <v>2289008</v>
      </c>
      <c r="C158" s="132">
        <v>400701</v>
      </c>
      <c r="D158" s="132">
        <v>28049</v>
      </c>
      <c r="E158" s="132">
        <v>434248</v>
      </c>
      <c r="F158" s="132">
        <v>1020887</v>
      </c>
      <c r="G158" s="132">
        <v>328039</v>
      </c>
      <c r="H158" s="132">
        <v>306421</v>
      </c>
      <c r="I158" s="132">
        <v>8336</v>
      </c>
      <c r="J158" s="132">
        <v>30683953</v>
      </c>
      <c r="K158" s="70">
        <f>SUM(B158:J158)</f>
        <v>35499642</v>
      </c>
    </row>
    <row r="159" spans="1:11" x14ac:dyDescent="0.35">
      <c r="A159" s="7">
        <v>44979</v>
      </c>
      <c r="B159" s="11">
        <v>986843</v>
      </c>
      <c r="C159" s="11">
        <v>461322</v>
      </c>
      <c r="D159" s="11">
        <v>37656</v>
      </c>
      <c r="E159" s="11">
        <v>550337</v>
      </c>
      <c r="F159" s="11">
        <v>923852</v>
      </c>
      <c r="G159" s="11">
        <v>485815</v>
      </c>
      <c r="H159" s="11">
        <v>230947</v>
      </c>
      <c r="I159" s="11">
        <v>7984</v>
      </c>
      <c r="J159" s="11">
        <v>26981441</v>
      </c>
      <c r="K159" s="11">
        <f t="shared" ref="K159:K180" si="10">SUM(B159:J159)</f>
        <v>30666197</v>
      </c>
    </row>
    <row r="160" spans="1:11" x14ac:dyDescent="0.35">
      <c r="A160" s="7">
        <v>45007</v>
      </c>
      <c r="B160" s="100">
        <v>1262533.67</v>
      </c>
      <c r="C160" s="100">
        <v>475349.25</v>
      </c>
      <c r="D160" s="100">
        <v>101289.3</v>
      </c>
      <c r="E160" s="100">
        <v>597184.61</v>
      </c>
      <c r="F160" s="100">
        <v>1055688.2</v>
      </c>
      <c r="G160" s="100">
        <v>1699388.99</v>
      </c>
      <c r="H160" s="100">
        <v>372728.59</v>
      </c>
      <c r="I160" s="100">
        <v>9005.33</v>
      </c>
      <c r="J160" s="122">
        <f>584348.63+16211125.59+10968412+18456.21</f>
        <v>27782342.43</v>
      </c>
      <c r="K160" s="11">
        <f t="shared" si="10"/>
        <v>33355510.370000001</v>
      </c>
    </row>
    <row r="161" spans="1:11" x14ac:dyDescent="0.35">
      <c r="A161" s="42">
        <v>45038</v>
      </c>
      <c r="B161" s="11">
        <v>874433</v>
      </c>
      <c r="C161" s="11">
        <v>378286</v>
      </c>
      <c r="D161" s="11">
        <v>62033</v>
      </c>
      <c r="E161" s="11">
        <v>738787</v>
      </c>
      <c r="F161" s="11">
        <v>993118</v>
      </c>
      <c r="G161" s="11">
        <v>1698106</v>
      </c>
      <c r="H161" s="11">
        <v>309857</v>
      </c>
      <c r="I161" s="11">
        <v>7411</v>
      </c>
      <c r="J161" s="11">
        <v>27524242</v>
      </c>
      <c r="K161" s="11">
        <f t="shared" si="10"/>
        <v>32586273</v>
      </c>
    </row>
    <row r="162" spans="1:11" x14ac:dyDescent="0.35">
      <c r="A162" s="7">
        <v>45068</v>
      </c>
      <c r="B162" s="11">
        <v>971004</v>
      </c>
      <c r="C162" s="11">
        <v>315564</v>
      </c>
      <c r="D162" s="11">
        <v>59109</v>
      </c>
      <c r="E162" s="11">
        <v>928089</v>
      </c>
      <c r="F162" s="11">
        <v>989430</v>
      </c>
      <c r="G162" s="11">
        <v>1337501</v>
      </c>
      <c r="H162" s="11">
        <v>349336</v>
      </c>
      <c r="I162" s="11">
        <v>5466</v>
      </c>
      <c r="J162" s="11">
        <v>27081477</v>
      </c>
      <c r="K162" s="11">
        <f t="shared" si="10"/>
        <v>32036976</v>
      </c>
    </row>
    <row r="163" spans="1:11" x14ac:dyDescent="0.35">
      <c r="A163" s="7">
        <v>45099</v>
      </c>
      <c r="B163" s="11">
        <v>1090107</v>
      </c>
      <c r="C163" s="11">
        <v>408829</v>
      </c>
      <c r="D163" s="11">
        <v>91566</v>
      </c>
      <c r="E163" s="11">
        <v>664497</v>
      </c>
      <c r="F163" s="11">
        <v>976279</v>
      </c>
      <c r="G163" s="11">
        <v>532522</v>
      </c>
      <c r="H163" s="11">
        <v>227360</v>
      </c>
      <c r="I163" s="11">
        <v>3952</v>
      </c>
      <c r="J163" s="11">
        <v>31152566</v>
      </c>
      <c r="K163" s="11">
        <f t="shared" si="10"/>
        <v>35147678</v>
      </c>
    </row>
    <row r="164" spans="1:11" x14ac:dyDescent="0.35">
      <c r="A164" s="42">
        <v>45129</v>
      </c>
      <c r="B164" s="11">
        <v>918431</v>
      </c>
      <c r="C164" s="11">
        <v>413564</v>
      </c>
      <c r="D164" s="11">
        <v>2385226</v>
      </c>
      <c r="E164" s="11">
        <v>380762</v>
      </c>
      <c r="F164" s="11">
        <v>976547</v>
      </c>
      <c r="G164" s="11">
        <v>419749</v>
      </c>
      <c r="H164" s="11">
        <v>311429</v>
      </c>
      <c r="I164" s="11">
        <v>3644</v>
      </c>
      <c r="J164" s="11">
        <v>24856674</v>
      </c>
      <c r="K164" s="11">
        <f t="shared" si="10"/>
        <v>30666026</v>
      </c>
    </row>
    <row r="165" spans="1:11" x14ac:dyDescent="0.35">
      <c r="A165" s="7">
        <v>45160</v>
      </c>
      <c r="B165" s="11">
        <v>2012680</v>
      </c>
      <c r="C165" s="11">
        <v>780089</v>
      </c>
      <c r="D165" s="11">
        <v>6300</v>
      </c>
      <c r="E165" s="11">
        <v>483284</v>
      </c>
      <c r="F165" s="11">
        <v>981172</v>
      </c>
      <c r="G165" s="11">
        <v>400859</v>
      </c>
      <c r="H165" s="11">
        <v>273347</v>
      </c>
      <c r="I165" s="11">
        <v>3306</v>
      </c>
      <c r="J165" s="11">
        <v>31571304</v>
      </c>
      <c r="K165" s="11">
        <f t="shared" si="10"/>
        <v>36512341</v>
      </c>
    </row>
    <row r="166" spans="1:11" x14ac:dyDescent="0.35">
      <c r="A166" s="7">
        <v>45191</v>
      </c>
      <c r="B166" s="11">
        <v>1317636</v>
      </c>
      <c r="C166" s="11">
        <v>757207</v>
      </c>
      <c r="D166" s="11">
        <v>67822</v>
      </c>
      <c r="E166" s="11">
        <v>965998</v>
      </c>
      <c r="F166" s="11">
        <v>952517</v>
      </c>
      <c r="G166" s="11">
        <v>534084</v>
      </c>
      <c r="H166" s="11">
        <v>257997</v>
      </c>
      <c r="I166" s="11">
        <v>3559</v>
      </c>
      <c r="J166" s="11">
        <v>34591372</v>
      </c>
      <c r="K166" s="11">
        <f t="shared" si="10"/>
        <v>39448192</v>
      </c>
    </row>
    <row r="167" spans="1:11" x14ac:dyDescent="0.35">
      <c r="A167" s="42">
        <v>45221</v>
      </c>
      <c r="B167" s="11">
        <v>966863</v>
      </c>
      <c r="C167" s="11">
        <v>412410</v>
      </c>
      <c r="D167" s="11">
        <v>9132</v>
      </c>
      <c r="E167" s="11">
        <v>493949</v>
      </c>
      <c r="F167" s="11">
        <v>1006504</v>
      </c>
      <c r="G167" s="11">
        <v>980495</v>
      </c>
      <c r="H167" s="11">
        <v>309562</v>
      </c>
      <c r="I167" s="11">
        <v>2810</v>
      </c>
      <c r="J167" s="11">
        <v>28471169</v>
      </c>
      <c r="K167" s="11">
        <f t="shared" si="10"/>
        <v>32652894</v>
      </c>
    </row>
    <row r="168" spans="1:11" x14ac:dyDescent="0.35">
      <c r="A168" s="7">
        <v>45252</v>
      </c>
      <c r="B168" s="100">
        <v>982942.23</v>
      </c>
      <c r="C168" s="100">
        <v>428145.97</v>
      </c>
      <c r="D168" s="100">
        <v>67101.679999999993</v>
      </c>
      <c r="E168" s="100">
        <v>648298.88</v>
      </c>
      <c r="F168" s="100">
        <v>823779.88</v>
      </c>
      <c r="G168" s="100">
        <v>446101.74</v>
      </c>
      <c r="H168" s="100">
        <v>297126.53000000003</v>
      </c>
      <c r="I168" s="100">
        <v>2433.9499999999998</v>
      </c>
      <c r="J168" s="122">
        <f>26142.54+16358916.55+15937780+18227.57</f>
        <v>32341066.66</v>
      </c>
      <c r="K168" s="11">
        <f t="shared" si="10"/>
        <v>36036997.520000003</v>
      </c>
    </row>
    <row r="169" spans="1:11" ht="15" thickBot="1" x14ac:dyDescent="0.4">
      <c r="A169" s="15">
        <v>45282</v>
      </c>
      <c r="B169" s="54">
        <v>1876132.3</v>
      </c>
      <c r="C169" s="54">
        <v>636160.89</v>
      </c>
      <c r="D169" s="54">
        <v>38508.019999999997</v>
      </c>
      <c r="E169" s="54">
        <v>601126.82999999996</v>
      </c>
      <c r="F169" s="54">
        <v>1002190.03</v>
      </c>
      <c r="G169" s="54">
        <v>820877.24</v>
      </c>
      <c r="H169" s="54">
        <v>281194.59000000003</v>
      </c>
      <c r="I169" s="54">
        <v>3918.09</v>
      </c>
      <c r="J169" s="54">
        <v>36731756.090000004</v>
      </c>
      <c r="K169" s="54">
        <f t="shared" si="10"/>
        <v>41991864.080000006</v>
      </c>
    </row>
    <row r="170" spans="1:11" x14ac:dyDescent="0.35">
      <c r="A170" s="53">
        <v>45313</v>
      </c>
      <c r="B170" s="132">
        <v>2201381.6</v>
      </c>
      <c r="C170" s="132">
        <v>450112.78</v>
      </c>
      <c r="D170" s="132">
        <v>14453</v>
      </c>
      <c r="E170" s="132">
        <v>481822.04</v>
      </c>
      <c r="F170" s="132">
        <v>988747.47</v>
      </c>
      <c r="G170" s="132">
        <v>279592.58</v>
      </c>
      <c r="H170" s="132">
        <v>306307.81</v>
      </c>
      <c r="I170" s="132">
        <v>5131.8999999999996</v>
      </c>
      <c r="J170" s="132">
        <f>19142806+14386256.16+13820.11-38092</f>
        <v>33504790.27</v>
      </c>
      <c r="K170" s="11">
        <f t="shared" si="10"/>
        <v>38232339.450000003</v>
      </c>
    </row>
    <row r="171" spans="1:11" x14ac:dyDescent="0.35">
      <c r="A171" s="7">
        <v>45344</v>
      </c>
      <c r="B171" s="100">
        <v>870908.2</v>
      </c>
      <c r="C171" s="100">
        <v>366173.25</v>
      </c>
      <c r="D171" s="100">
        <v>86485.17</v>
      </c>
      <c r="E171" s="100">
        <v>553400.59</v>
      </c>
      <c r="F171" s="100">
        <v>937990.16</v>
      </c>
      <c r="G171" s="100">
        <v>553279.37</v>
      </c>
      <c r="H171" s="100">
        <v>259006.63</v>
      </c>
      <c r="I171" s="100">
        <v>6354.58</v>
      </c>
      <c r="J171" s="100">
        <f>425467.55+15891136+15874556.62+13610.53</f>
        <v>32204770.700000003</v>
      </c>
      <c r="K171" s="11">
        <f t="shared" si="10"/>
        <v>35838368.650000006</v>
      </c>
    </row>
    <row r="172" spans="1:11" x14ac:dyDescent="0.35">
      <c r="A172" s="42">
        <v>45373</v>
      </c>
      <c r="B172" s="100">
        <v>971648.61</v>
      </c>
      <c r="C172" s="100">
        <v>410370.96</v>
      </c>
      <c r="D172" s="100">
        <v>17692</v>
      </c>
      <c r="E172" s="100">
        <v>671071.12</v>
      </c>
      <c r="F172" s="100">
        <v>1005954.01</v>
      </c>
      <c r="G172" s="100">
        <v>1844860.09</v>
      </c>
      <c r="H172" s="100">
        <v>330325.92</v>
      </c>
      <c r="I172" s="100">
        <v>7726.6</v>
      </c>
      <c r="J172" s="122">
        <f>18982.07+15227158+19053907.28+18080.35</f>
        <v>34318127.700000003</v>
      </c>
      <c r="K172" s="11">
        <f t="shared" si="10"/>
        <v>39577777.010000005</v>
      </c>
    </row>
    <row r="173" spans="1:11" x14ac:dyDescent="0.35">
      <c r="A173" s="7">
        <v>45404</v>
      </c>
      <c r="B173" s="11">
        <v>1182590.6100000001</v>
      </c>
      <c r="C173" s="11">
        <v>357511.24</v>
      </c>
      <c r="D173" s="11">
        <v>14905</v>
      </c>
      <c r="E173" s="11">
        <v>507852.96</v>
      </c>
      <c r="F173" s="11">
        <v>994723.06</v>
      </c>
      <c r="G173" s="11">
        <v>1652376.32</v>
      </c>
      <c r="H173" s="11">
        <v>309944.09999999998</v>
      </c>
      <c r="I173" s="11">
        <v>7457.68</v>
      </c>
      <c r="J173" s="11">
        <v>33747077.630000003</v>
      </c>
      <c r="K173" s="11">
        <f t="shared" si="10"/>
        <v>38774438.600000001</v>
      </c>
    </row>
    <row r="174" spans="1:11" x14ac:dyDescent="0.35">
      <c r="A174" s="42">
        <v>45434</v>
      </c>
      <c r="B174" s="11">
        <v>783143.55</v>
      </c>
      <c r="C174" s="11">
        <v>365214.49</v>
      </c>
      <c r="D174" s="11">
        <v>502830.96</v>
      </c>
      <c r="E174" s="11">
        <v>545000.02</v>
      </c>
      <c r="F174" s="11">
        <v>1084912.49</v>
      </c>
      <c r="G174" s="11">
        <v>934479.93</v>
      </c>
      <c r="H174" s="11">
        <v>239992.57</v>
      </c>
      <c r="I174" s="11">
        <v>3648.55</v>
      </c>
      <c r="J174" s="11">
        <v>32130485.379999999</v>
      </c>
      <c r="K174" s="11">
        <f t="shared" si="10"/>
        <v>36589707.939999998</v>
      </c>
    </row>
    <row r="175" spans="1:11" x14ac:dyDescent="0.35">
      <c r="A175" s="7">
        <v>45465</v>
      </c>
      <c r="B175" s="11">
        <v>986159.97</v>
      </c>
      <c r="C175" s="11">
        <v>358490.41</v>
      </c>
      <c r="D175" s="11">
        <v>62390</v>
      </c>
      <c r="E175" s="11">
        <v>504240.33</v>
      </c>
      <c r="F175" s="11">
        <v>1053352.3600000001</v>
      </c>
      <c r="G175" s="11">
        <v>738935.72</v>
      </c>
      <c r="H175" s="11">
        <v>171783.96</v>
      </c>
      <c r="I175" s="11">
        <v>3158.24</v>
      </c>
      <c r="J175" s="11">
        <v>32849963.570000004</v>
      </c>
      <c r="K175" s="11">
        <f t="shared" si="10"/>
        <v>36728474.560000002</v>
      </c>
    </row>
    <row r="176" spans="1:11" x14ac:dyDescent="0.35">
      <c r="A176" s="42">
        <v>45495</v>
      </c>
      <c r="B176" s="11">
        <v>1052706.1100000001</v>
      </c>
      <c r="C176" s="11">
        <v>392452.37</v>
      </c>
      <c r="D176" s="11">
        <v>8796</v>
      </c>
      <c r="E176" s="11">
        <v>315514.7</v>
      </c>
      <c r="F176" s="11">
        <v>956040.86</v>
      </c>
      <c r="G176" s="11">
        <v>395388.96</v>
      </c>
      <c r="H176" s="11">
        <v>450831.18</v>
      </c>
      <c r="I176" s="11">
        <v>4781.21</v>
      </c>
      <c r="J176" s="11">
        <v>31004831.82</v>
      </c>
      <c r="K176" s="11">
        <f t="shared" si="10"/>
        <v>34581343.210000001</v>
      </c>
    </row>
    <row r="177" spans="1:11" x14ac:dyDescent="0.35">
      <c r="A177" s="7">
        <v>45526</v>
      </c>
      <c r="B177" s="11">
        <v>1747743.55</v>
      </c>
      <c r="C177" s="11">
        <v>675838.32</v>
      </c>
      <c r="D177" s="11">
        <v>22447.66</v>
      </c>
      <c r="E177" s="11">
        <v>466887.05</v>
      </c>
      <c r="F177" s="11">
        <v>941374.95</v>
      </c>
      <c r="G177" s="11">
        <v>374586.32</v>
      </c>
      <c r="H177" s="11">
        <v>331030.71999999997</v>
      </c>
      <c r="I177" s="11">
        <v>4179.9799999999996</v>
      </c>
      <c r="J177" s="11">
        <v>33578628.780000001</v>
      </c>
      <c r="K177" s="11">
        <f t="shared" si="10"/>
        <v>38142717.329999998</v>
      </c>
    </row>
    <row r="178" spans="1:11" x14ac:dyDescent="0.35">
      <c r="A178" s="42">
        <v>45557</v>
      </c>
      <c r="B178" s="11">
        <v>1635130.42</v>
      </c>
      <c r="C178" s="11">
        <v>587854.69999999995</v>
      </c>
      <c r="D178" s="11">
        <v>201064.74</v>
      </c>
      <c r="E178" s="11">
        <v>547178.4</v>
      </c>
      <c r="F178" s="11">
        <v>1005423.53</v>
      </c>
      <c r="G178" s="11">
        <v>482024.23</v>
      </c>
      <c r="H178" s="11">
        <v>349647.64</v>
      </c>
      <c r="I178" s="11">
        <v>3231.42</v>
      </c>
      <c r="J178" s="11">
        <v>32509783.930000003</v>
      </c>
      <c r="K178" s="11">
        <f t="shared" si="10"/>
        <v>37321339.010000005</v>
      </c>
    </row>
    <row r="179" spans="1:11" x14ac:dyDescent="0.35">
      <c r="A179" s="7">
        <v>45587</v>
      </c>
      <c r="B179" s="11">
        <v>898696.21</v>
      </c>
      <c r="C179" s="11">
        <v>364998.94</v>
      </c>
      <c r="D179" s="11">
        <v>290790.26</v>
      </c>
      <c r="E179" s="11">
        <v>599873.69999999995</v>
      </c>
      <c r="F179" s="11">
        <v>1079859.5900000001</v>
      </c>
      <c r="G179" s="11">
        <v>976243.15</v>
      </c>
      <c r="H179" s="11">
        <v>311304.56</v>
      </c>
      <c r="I179" s="11">
        <v>3374.79</v>
      </c>
      <c r="J179" s="11">
        <v>34813946.420000002</v>
      </c>
      <c r="K179" s="11">
        <f t="shared" si="10"/>
        <v>39339087.620000005</v>
      </c>
    </row>
    <row r="180" spans="1:11" x14ac:dyDescent="0.35">
      <c r="A180" s="42">
        <v>45618</v>
      </c>
      <c r="B180" s="100">
        <v>959643.4</v>
      </c>
      <c r="C180" s="100">
        <v>454248</v>
      </c>
      <c r="D180" s="100">
        <v>209785.13</v>
      </c>
      <c r="E180" s="100">
        <v>452944.89</v>
      </c>
      <c r="F180" s="100">
        <v>1003576.25</v>
      </c>
      <c r="G180" s="100">
        <v>716523.81</v>
      </c>
      <c r="H180" s="100">
        <v>266026.5</v>
      </c>
      <c r="I180" s="100">
        <v>2306.4699999999998</v>
      </c>
      <c r="J180" s="122">
        <v>35505564.469999999</v>
      </c>
      <c r="K180" s="11">
        <f t="shared" si="10"/>
        <v>39570618.920000002</v>
      </c>
    </row>
    <row r="181" spans="1:11" ht="15" thickBot="1" x14ac:dyDescent="0.4">
      <c r="A181" s="15">
        <v>45648</v>
      </c>
      <c r="B181" s="54">
        <v>1775821.54</v>
      </c>
      <c r="C181" s="54">
        <v>621706.69999999995</v>
      </c>
      <c r="D181" s="54">
        <v>146379.49</v>
      </c>
      <c r="E181" s="54">
        <v>610758.76</v>
      </c>
      <c r="F181" s="54">
        <v>1070670.3</v>
      </c>
      <c r="G181" s="54">
        <v>1011079.87</v>
      </c>
      <c r="H181" s="54">
        <v>344977.9</v>
      </c>
      <c r="I181" s="54">
        <v>3796.05</v>
      </c>
      <c r="J181" s="54">
        <v>42289413.029999994</v>
      </c>
      <c r="K181" s="54">
        <v>47874603.639999993</v>
      </c>
    </row>
    <row r="182" spans="1:11" x14ac:dyDescent="0.35">
      <c r="A182" s="16"/>
      <c r="B182" s="66"/>
      <c r="C182" s="66"/>
      <c r="D182" s="66"/>
      <c r="E182" s="66"/>
      <c r="F182" s="66"/>
      <c r="G182" s="66"/>
      <c r="H182" s="66"/>
      <c r="I182" s="66"/>
      <c r="J182" s="66"/>
      <c r="K182" s="66"/>
    </row>
    <row r="183" spans="1:11" ht="15" thickBot="1" x14ac:dyDescent="0.4">
      <c r="A183" s="16"/>
      <c r="B183" s="12"/>
      <c r="C183" s="12"/>
      <c r="D183" s="12"/>
      <c r="E183" s="12"/>
      <c r="F183" s="12"/>
    </row>
    <row r="184" spans="1:11" ht="15" thickBot="1" x14ac:dyDescent="0.4">
      <c r="A184" s="20" t="s">
        <v>9</v>
      </c>
      <c r="B184" s="21" t="s">
        <v>308</v>
      </c>
      <c r="C184" s="23" t="s">
        <v>309</v>
      </c>
      <c r="D184" s="23" t="s">
        <v>310</v>
      </c>
      <c r="E184" s="23" t="s">
        <v>311</v>
      </c>
      <c r="F184" s="23" t="s">
        <v>312</v>
      </c>
      <c r="G184" s="23" t="s">
        <v>313</v>
      </c>
      <c r="H184" s="23" t="s">
        <v>314</v>
      </c>
      <c r="I184" s="23" t="s">
        <v>315</v>
      </c>
      <c r="J184" s="23" t="s">
        <v>316</v>
      </c>
      <c r="K184" s="21" t="s">
        <v>317</v>
      </c>
    </row>
    <row r="185" spans="1:11" x14ac:dyDescent="0.35">
      <c r="A185" s="96">
        <v>2010</v>
      </c>
      <c r="B185" s="70">
        <f t="shared" ref="B185:K185" si="11">SUM(B2:B13)</f>
        <v>21548850</v>
      </c>
      <c r="C185" s="70">
        <f t="shared" si="11"/>
        <v>4073102</v>
      </c>
      <c r="D185" s="70">
        <f t="shared" si="11"/>
        <v>789453</v>
      </c>
      <c r="E185" s="70">
        <f t="shared" si="11"/>
        <v>11347855</v>
      </c>
      <c r="F185" s="70">
        <f t="shared" si="11"/>
        <v>1197389</v>
      </c>
      <c r="G185" s="70">
        <f t="shared" si="11"/>
        <v>7118876</v>
      </c>
      <c r="H185" s="70">
        <f t="shared" si="11"/>
        <v>3440227</v>
      </c>
      <c r="I185" s="70">
        <f t="shared" si="11"/>
        <v>76015</v>
      </c>
      <c r="J185" s="70">
        <f t="shared" si="11"/>
        <v>119967298</v>
      </c>
      <c r="K185" s="70">
        <f t="shared" si="11"/>
        <v>169559065</v>
      </c>
    </row>
    <row r="186" spans="1:11" x14ac:dyDescent="0.35">
      <c r="A186" s="18">
        <v>2011</v>
      </c>
      <c r="B186" s="11">
        <f t="shared" ref="B186:B196" ca="1" si="12">SUM(OFFSET($B$2,(12*(ROW(B2)-1)),0,12,1))</f>
        <v>20537434</v>
      </c>
      <c r="C186" s="11">
        <f t="shared" ref="C186:C196" ca="1" si="13">SUM(OFFSET($C$2,(12*(ROW(C2)-1)),0,12,1))</f>
        <v>4140989</v>
      </c>
      <c r="D186" s="11">
        <f t="shared" ref="D186:D196" ca="1" si="14">SUM(OFFSET($D$2,(12*(ROW(D2)-1)),0,12,1))</f>
        <v>907013</v>
      </c>
      <c r="E186" s="11">
        <f t="shared" ref="E186:E196" ca="1" si="15">SUM(OFFSET($E$2,(12*(ROW(E2)-1)),0,12,1))</f>
        <v>10563407</v>
      </c>
      <c r="F186" s="11">
        <f t="shared" ref="F186:F196" ca="1" si="16">SUM(OFFSET($F$2,(12*(ROW(F2)-1)),0,12,1))</f>
        <v>1296935</v>
      </c>
      <c r="G186" s="11">
        <f t="shared" ref="G186:G196" ca="1" si="17">SUM(OFFSET($G$2,(12*(ROW(G2)-1)),0,12,1))</f>
        <v>6606839</v>
      </c>
      <c r="H186" s="11">
        <f t="shared" ref="H186:H196" ca="1" si="18">SUM(OFFSET($H$2,(12*(ROW(H2)-1)),0,12,1))</f>
        <v>3326361</v>
      </c>
      <c r="I186" s="11">
        <f t="shared" ref="I186:I196" ca="1" si="19">SUM(OFFSET($I$2,(12*(ROW(I2)-1)),0,12,1))</f>
        <v>79475</v>
      </c>
      <c r="J186" s="11">
        <f t="shared" ref="J186:J196" ca="1" si="20">SUM(OFFSET($J$2,(12*(ROW(J2)-1)),0,12,1))</f>
        <v>131330306</v>
      </c>
      <c r="K186" s="11">
        <f t="shared" ref="K186:K196" ca="1" si="21">SUM(OFFSET($K$2,(12*(ROW(K2)-1)),0,12,1))</f>
        <v>178788759</v>
      </c>
    </row>
    <row r="187" spans="1:11" x14ac:dyDescent="0.35">
      <c r="A187" s="18">
        <v>2012</v>
      </c>
      <c r="B187" s="11">
        <f t="shared" ca="1" si="12"/>
        <v>20843153</v>
      </c>
      <c r="C187" s="11">
        <f t="shared" ca="1" si="13"/>
        <v>4007961</v>
      </c>
      <c r="D187" s="11">
        <f t="shared" ca="1" si="14"/>
        <v>1124177</v>
      </c>
      <c r="E187" s="11">
        <f t="shared" ca="1" si="15"/>
        <v>10775442</v>
      </c>
      <c r="F187" s="11">
        <f t="shared" ca="1" si="16"/>
        <v>2145973</v>
      </c>
      <c r="G187" s="11">
        <f t="shared" ca="1" si="17"/>
        <v>6023095</v>
      </c>
      <c r="H187" s="11">
        <f t="shared" ca="1" si="18"/>
        <v>3497814</v>
      </c>
      <c r="I187" s="11">
        <f t="shared" ca="1" si="19"/>
        <v>79181</v>
      </c>
      <c r="J187" s="11">
        <f t="shared" ca="1" si="20"/>
        <v>134320401</v>
      </c>
      <c r="K187" s="11">
        <f t="shared" ca="1" si="21"/>
        <v>182817197</v>
      </c>
    </row>
    <row r="188" spans="1:11" x14ac:dyDescent="0.35">
      <c r="A188" s="18">
        <v>2013</v>
      </c>
      <c r="B188" s="11">
        <f t="shared" ca="1" si="12"/>
        <v>20180274</v>
      </c>
      <c r="C188" s="11">
        <f t="shared" ca="1" si="13"/>
        <v>4336520</v>
      </c>
      <c r="D188" s="11">
        <f t="shared" ca="1" si="14"/>
        <v>1164928</v>
      </c>
      <c r="E188" s="11">
        <f t="shared" ca="1" si="15"/>
        <v>8625616</v>
      </c>
      <c r="F188" s="11">
        <f t="shared" ca="1" si="16"/>
        <v>1461269</v>
      </c>
      <c r="G188" s="11">
        <f t="shared" ca="1" si="17"/>
        <v>7654139</v>
      </c>
      <c r="H188" s="11">
        <f t="shared" ca="1" si="18"/>
        <v>3171229</v>
      </c>
      <c r="I188" s="11">
        <f t="shared" ca="1" si="19"/>
        <v>97150</v>
      </c>
      <c r="J188" s="11">
        <f t="shared" ca="1" si="20"/>
        <v>160829202</v>
      </c>
      <c r="K188" s="11">
        <f t="shared" ca="1" si="21"/>
        <v>207520327</v>
      </c>
    </row>
    <row r="189" spans="1:11" x14ac:dyDescent="0.35">
      <c r="A189" s="18">
        <v>2014</v>
      </c>
      <c r="B189" s="11">
        <f t="shared" ca="1" si="12"/>
        <v>20802205</v>
      </c>
      <c r="C189" s="11">
        <f t="shared" ca="1" si="13"/>
        <v>6717544</v>
      </c>
      <c r="D189" s="11">
        <f t="shared" ca="1" si="14"/>
        <v>2174873</v>
      </c>
      <c r="E189" s="11">
        <f t="shared" ca="1" si="15"/>
        <v>8144799</v>
      </c>
      <c r="F189" s="11">
        <f t="shared" ca="1" si="16"/>
        <v>1364295</v>
      </c>
      <c r="G189" s="11">
        <f t="shared" ca="1" si="17"/>
        <v>9062117</v>
      </c>
      <c r="H189" s="11">
        <f t="shared" ca="1" si="18"/>
        <v>3249714</v>
      </c>
      <c r="I189" s="11">
        <f t="shared" ca="1" si="19"/>
        <v>126185</v>
      </c>
      <c r="J189" s="11">
        <f t="shared" ca="1" si="20"/>
        <v>149745566</v>
      </c>
      <c r="K189" s="11">
        <f t="shared" ca="1" si="21"/>
        <v>201387298</v>
      </c>
    </row>
    <row r="190" spans="1:11" x14ac:dyDescent="0.35">
      <c r="A190" s="36">
        <v>2015</v>
      </c>
      <c r="B190" s="37">
        <f t="shared" ca="1" si="12"/>
        <v>18499274.23</v>
      </c>
      <c r="C190" s="37">
        <f t="shared" ca="1" si="13"/>
        <v>6116537.1099999994</v>
      </c>
      <c r="D190" s="37">
        <f t="shared" ca="1" si="14"/>
        <v>1414877.68</v>
      </c>
      <c r="E190" s="37">
        <f t="shared" ca="1" si="15"/>
        <v>8055265.5999999996</v>
      </c>
      <c r="F190" s="37">
        <f t="shared" ca="1" si="16"/>
        <v>1766787.45</v>
      </c>
      <c r="G190" s="37">
        <f t="shared" ca="1" si="17"/>
        <v>7469939.2600000007</v>
      </c>
      <c r="H190" s="37">
        <f t="shared" ca="1" si="18"/>
        <v>3184233.9699999997</v>
      </c>
      <c r="I190" s="37">
        <f t="shared" ca="1" si="19"/>
        <v>126479.81999999999</v>
      </c>
      <c r="J190" s="37">
        <f t="shared" ca="1" si="20"/>
        <v>151826966.48000002</v>
      </c>
      <c r="K190" s="37">
        <f t="shared" ca="1" si="21"/>
        <v>198460361.59999999</v>
      </c>
    </row>
    <row r="191" spans="1:11" x14ac:dyDescent="0.35">
      <c r="A191" s="36">
        <v>2016</v>
      </c>
      <c r="B191" s="37">
        <f t="shared" ca="1" si="12"/>
        <v>17391743.530000001</v>
      </c>
      <c r="C191" s="37">
        <f t="shared" ca="1" si="13"/>
        <v>5312911.1100000003</v>
      </c>
      <c r="D191" s="37">
        <f t="shared" ca="1" si="14"/>
        <v>1387591.6</v>
      </c>
      <c r="E191" s="37">
        <f t="shared" ca="1" si="15"/>
        <v>7515753.1000000006</v>
      </c>
      <c r="F191" s="37">
        <f t="shared" ca="1" si="16"/>
        <v>1599386.5499999998</v>
      </c>
      <c r="G191" s="37">
        <f t="shared" ca="1" si="17"/>
        <v>8188125.9199999999</v>
      </c>
      <c r="H191" s="37">
        <f t="shared" ca="1" si="18"/>
        <v>3193846.5</v>
      </c>
      <c r="I191" s="37">
        <f t="shared" ca="1" si="19"/>
        <v>134766.10999999999</v>
      </c>
      <c r="J191" s="37">
        <f t="shared" ca="1" si="20"/>
        <v>145410569.80000001</v>
      </c>
      <c r="K191" s="37">
        <f t="shared" ca="1" si="21"/>
        <v>190134694.22</v>
      </c>
    </row>
    <row r="192" spans="1:11" x14ac:dyDescent="0.35">
      <c r="A192" s="97">
        <v>2017</v>
      </c>
      <c r="B192" s="85">
        <f t="shared" ca="1" si="12"/>
        <v>17108992.5</v>
      </c>
      <c r="C192" s="85">
        <f t="shared" ca="1" si="13"/>
        <v>5073928.76</v>
      </c>
      <c r="D192" s="85">
        <f t="shared" ca="1" si="14"/>
        <v>1208892.8800000001</v>
      </c>
      <c r="E192" s="85">
        <f t="shared" ca="1" si="15"/>
        <v>5705004.2999999998</v>
      </c>
      <c r="F192" s="85">
        <f t="shared" ca="1" si="16"/>
        <v>2164779.9</v>
      </c>
      <c r="G192" s="85">
        <f t="shared" ca="1" si="17"/>
        <v>8178646.0199999996</v>
      </c>
      <c r="H192" s="85">
        <f t="shared" ca="1" si="18"/>
        <v>3296432.69</v>
      </c>
      <c r="I192" s="85">
        <f t="shared" ca="1" si="19"/>
        <v>102679.89</v>
      </c>
      <c r="J192" s="85">
        <f t="shared" ca="1" si="20"/>
        <v>155418941.03000003</v>
      </c>
      <c r="K192" s="85">
        <f t="shared" ca="1" si="21"/>
        <v>198258297.97000003</v>
      </c>
    </row>
    <row r="193" spans="1:11" x14ac:dyDescent="0.35">
      <c r="A193" s="75">
        <v>2018</v>
      </c>
      <c r="B193" s="11">
        <f t="shared" ca="1" si="12"/>
        <v>15176707.690000001</v>
      </c>
      <c r="C193" s="11">
        <f t="shared" ca="1" si="13"/>
        <v>5134499.6999999993</v>
      </c>
      <c r="D193" s="11">
        <f t="shared" ca="1" si="14"/>
        <v>1323863.98</v>
      </c>
      <c r="E193" s="11">
        <f t="shared" ca="1" si="15"/>
        <v>4992069.9700000007</v>
      </c>
      <c r="F193" s="11">
        <f t="shared" ca="1" si="16"/>
        <v>2436796.08</v>
      </c>
      <c r="G193" s="11">
        <f t="shared" ca="1" si="17"/>
        <v>8517560.0300000012</v>
      </c>
      <c r="H193" s="11">
        <f t="shared" ca="1" si="18"/>
        <v>3099499.6000000006</v>
      </c>
      <c r="I193" s="11">
        <f t="shared" ca="1" si="19"/>
        <v>79443.850000000006</v>
      </c>
      <c r="J193" s="11">
        <f t="shared" ca="1" si="20"/>
        <v>153047785.16</v>
      </c>
      <c r="K193" s="11">
        <f t="shared" ca="1" si="21"/>
        <v>193808226.06</v>
      </c>
    </row>
    <row r="194" spans="1:11" x14ac:dyDescent="0.35">
      <c r="A194" s="18">
        <v>2019</v>
      </c>
      <c r="B194" s="11">
        <f t="shared" ca="1" si="12"/>
        <v>14007346.390000002</v>
      </c>
      <c r="C194" s="11">
        <f t="shared" ca="1" si="13"/>
        <v>5317594.09</v>
      </c>
      <c r="D194" s="11">
        <f t="shared" ca="1" si="14"/>
        <v>1134289.82</v>
      </c>
      <c r="E194" s="11">
        <f t="shared" ca="1" si="15"/>
        <v>5633425.9199999999</v>
      </c>
      <c r="F194" s="11">
        <f t="shared" ca="1" si="16"/>
        <v>2330873.8799999994</v>
      </c>
      <c r="G194" s="11">
        <f t="shared" ca="1" si="17"/>
        <v>6882354.1499999994</v>
      </c>
      <c r="H194" s="11">
        <f t="shared" ca="1" si="18"/>
        <v>3057583.46</v>
      </c>
      <c r="I194" s="11">
        <f t="shared" ca="1" si="19"/>
        <v>113715.82</v>
      </c>
      <c r="J194" s="11">
        <f t="shared" ca="1" si="20"/>
        <v>167004633.78999999</v>
      </c>
      <c r="K194" s="11">
        <f t="shared" ca="1" si="21"/>
        <v>205481817.32000002</v>
      </c>
    </row>
    <row r="195" spans="1:11" x14ac:dyDescent="0.35">
      <c r="A195" s="18">
        <v>2020</v>
      </c>
      <c r="B195" s="11">
        <f t="shared" ca="1" si="12"/>
        <v>12471282.25</v>
      </c>
      <c r="C195" s="11">
        <f t="shared" ca="1" si="13"/>
        <v>4230216.3999999994</v>
      </c>
      <c r="D195" s="11">
        <f t="shared" ca="1" si="14"/>
        <v>840737.94000000006</v>
      </c>
      <c r="E195" s="11">
        <f t="shared" ca="1" si="15"/>
        <v>5505866.4299999997</v>
      </c>
      <c r="F195" s="11">
        <f t="shared" ca="1" si="16"/>
        <v>3241726.65</v>
      </c>
      <c r="G195" s="11">
        <f t="shared" ca="1" si="17"/>
        <v>7636238.29</v>
      </c>
      <c r="H195" s="11">
        <f t="shared" ca="1" si="18"/>
        <v>3408035.4199999995</v>
      </c>
      <c r="I195" s="11">
        <f t="shared" ca="1" si="19"/>
        <v>99367.02</v>
      </c>
      <c r="J195" s="11">
        <f t="shared" ca="1" si="20"/>
        <v>163361624.92999998</v>
      </c>
      <c r="K195" s="11">
        <f t="shared" ca="1" si="21"/>
        <v>200795095.32999998</v>
      </c>
    </row>
    <row r="196" spans="1:11" x14ac:dyDescent="0.35">
      <c r="A196" s="18">
        <v>2021</v>
      </c>
      <c r="B196" s="11">
        <f t="shared" ca="1" si="12"/>
        <v>14663369.149999999</v>
      </c>
      <c r="C196" s="11">
        <f t="shared" ca="1" si="13"/>
        <v>6351488.6439999985</v>
      </c>
      <c r="D196" s="11">
        <f t="shared" ca="1" si="14"/>
        <v>869154.54999999993</v>
      </c>
      <c r="E196" s="11">
        <f t="shared" ca="1" si="15"/>
        <v>7355406.7000000011</v>
      </c>
      <c r="F196" s="11">
        <f t="shared" ca="1" si="16"/>
        <v>5945787.8500000006</v>
      </c>
      <c r="G196" s="11">
        <f t="shared" ca="1" si="17"/>
        <v>10036685.950000003</v>
      </c>
      <c r="H196" s="11">
        <f t="shared" ca="1" si="18"/>
        <v>3986511.0400000005</v>
      </c>
      <c r="I196" s="11">
        <f t="shared" ca="1" si="19"/>
        <v>110617.26</v>
      </c>
      <c r="J196" s="11">
        <f t="shared" ca="1" si="20"/>
        <v>297001926.19999999</v>
      </c>
      <c r="K196" s="11">
        <f t="shared" ca="1" si="21"/>
        <v>346320947.34400004</v>
      </c>
    </row>
    <row r="197" spans="1:11" x14ac:dyDescent="0.35">
      <c r="A197" s="18">
        <v>2022</v>
      </c>
      <c r="B197" s="11">
        <f t="shared" ref="B197:K197" si="22">SUM(B146:B157)</f>
        <v>14638058.800000001</v>
      </c>
      <c r="C197" s="11">
        <f t="shared" si="22"/>
        <v>6152326.2800000003</v>
      </c>
      <c r="D197" s="11">
        <f t="shared" si="22"/>
        <v>949050.82000000007</v>
      </c>
      <c r="E197" s="11">
        <f t="shared" si="22"/>
        <v>7255762.3300000001</v>
      </c>
      <c r="F197" s="11">
        <f t="shared" si="22"/>
        <v>10041006.289999999</v>
      </c>
      <c r="G197" s="11">
        <f t="shared" si="22"/>
        <v>10347504.6</v>
      </c>
      <c r="H197" s="11">
        <f t="shared" si="22"/>
        <v>3813040.73</v>
      </c>
      <c r="I197" s="11">
        <f t="shared" si="22"/>
        <v>98614.37000000001</v>
      </c>
      <c r="J197" s="11">
        <f t="shared" si="22"/>
        <v>334040864.94999999</v>
      </c>
      <c r="K197" s="11">
        <f t="shared" si="22"/>
        <v>387336229.16999996</v>
      </c>
    </row>
    <row r="198" spans="1:11" x14ac:dyDescent="0.35">
      <c r="A198" s="18">
        <v>2023</v>
      </c>
      <c r="B198" s="11">
        <f>SUM(B158:B169)</f>
        <v>15548613.200000001</v>
      </c>
      <c r="C198" s="11">
        <f>SUM(C158:C169)</f>
        <v>5867628.1099999994</v>
      </c>
      <c r="D198" s="11">
        <f t="shared" ref="D198:K198" si="23">SUM(D158:D169)</f>
        <v>2953792</v>
      </c>
      <c r="E198" s="11">
        <f t="shared" si="23"/>
        <v>7486561.3199999994</v>
      </c>
      <c r="F198" s="11">
        <f t="shared" si="23"/>
        <v>11701964.109999999</v>
      </c>
      <c r="G198" s="11">
        <f t="shared" si="23"/>
        <v>9683537.9700000007</v>
      </c>
      <c r="H198" s="11">
        <f t="shared" si="23"/>
        <v>3527305.71</v>
      </c>
      <c r="I198" s="11">
        <f t="shared" si="23"/>
        <v>61825.369999999995</v>
      </c>
      <c r="J198" s="11">
        <f t="shared" si="23"/>
        <v>359769363.18000007</v>
      </c>
      <c r="K198" s="11">
        <f t="shared" si="23"/>
        <v>416600590.96999997</v>
      </c>
    </row>
    <row r="199" spans="1:11" ht="15" thickBot="1" x14ac:dyDescent="0.4">
      <c r="A199" s="189" t="s">
        <v>12</v>
      </c>
      <c r="B199" s="46">
        <f>SUM(B170:B181)</f>
        <v>15065573.77</v>
      </c>
      <c r="C199" s="46">
        <f>SUM(C170:C181)</f>
        <v>5404972.1600000001</v>
      </c>
      <c r="D199" s="46">
        <f t="shared" ref="D199:K199" si="24">SUM(D170:D181)</f>
        <v>1578019.41</v>
      </c>
      <c r="E199" s="46">
        <f t="shared" si="24"/>
        <v>6256544.5599999996</v>
      </c>
      <c r="F199" s="46">
        <f t="shared" si="24"/>
        <v>12122625.030000001</v>
      </c>
      <c r="G199" s="46">
        <f t="shared" si="24"/>
        <v>9959370.3499999996</v>
      </c>
      <c r="H199" s="46">
        <f t="shared" si="24"/>
        <v>3671179.4899999998</v>
      </c>
      <c r="I199" s="46">
        <f t="shared" si="24"/>
        <v>55147.470000000008</v>
      </c>
      <c r="J199" s="46">
        <f t="shared" si="24"/>
        <v>408457383.69999993</v>
      </c>
      <c r="K199" s="46">
        <f t="shared" si="24"/>
        <v>462570815.94</v>
      </c>
    </row>
    <row r="200" spans="1:11" ht="15" thickBot="1" x14ac:dyDescent="0.4">
      <c r="A200" s="16"/>
      <c r="B200" s="12"/>
      <c r="C200" s="12"/>
      <c r="D200" s="12"/>
      <c r="E200" s="12"/>
      <c r="F200" s="12"/>
    </row>
    <row r="201" spans="1:11" ht="15" thickBot="1" x14ac:dyDescent="0.4">
      <c r="A201" s="87"/>
      <c r="B201" s="21" t="s">
        <v>308</v>
      </c>
      <c r="C201" s="88" t="s">
        <v>309</v>
      </c>
      <c r="D201" s="21" t="s">
        <v>310</v>
      </c>
      <c r="E201" s="88" t="s">
        <v>311</v>
      </c>
      <c r="F201" s="21" t="s">
        <v>312</v>
      </c>
      <c r="G201" s="88" t="s">
        <v>313</v>
      </c>
      <c r="H201" s="21" t="s">
        <v>314</v>
      </c>
      <c r="I201" s="88" t="s">
        <v>315</v>
      </c>
      <c r="J201" s="21" t="s">
        <v>316</v>
      </c>
      <c r="K201" s="21" t="s">
        <v>317</v>
      </c>
    </row>
    <row r="202" spans="1:11" x14ac:dyDescent="0.35">
      <c r="A202" s="188" t="s">
        <v>11</v>
      </c>
      <c r="B202" s="91">
        <f>SUM(B158:B169)</f>
        <v>15548613.200000001</v>
      </c>
      <c r="C202" s="91">
        <f>SUM(C158:C169)</f>
        <v>5867628.1099999994</v>
      </c>
      <c r="D202" s="91">
        <f t="shared" ref="D202:K202" si="25">SUM(D158:D169)</f>
        <v>2953792</v>
      </c>
      <c r="E202" s="91">
        <f t="shared" si="25"/>
        <v>7486561.3199999994</v>
      </c>
      <c r="F202" s="91">
        <f t="shared" si="25"/>
        <v>11701964.109999999</v>
      </c>
      <c r="G202" s="91">
        <f t="shared" si="25"/>
        <v>9683537.9700000007</v>
      </c>
      <c r="H202" s="91">
        <f t="shared" si="25"/>
        <v>3527305.71</v>
      </c>
      <c r="I202" s="91">
        <f t="shared" si="25"/>
        <v>61825.369999999995</v>
      </c>
      <c r="J202" s="91">
        <f t="shared" si="25"/>
        <v>359769363.18000007</v>
      </c>
      <c r="K202" s="91">
        <f t="shared" si="25"/>
        <v>416600590.96999997</v>
      </c>
    </row>
    <row r="203" spans="1:11" x14ac:dyDescent="0.35">
      <c r="A203" s="188" t="s">
        <v>12</v>
      </c>
      <c r="B203" s="91">
        <f>SUM(B170:B181)</f>
        <v>15065573.77</v>
      </c>
      <c r="C203" s="91">
        <f>SUM(C170:C181)</f>
        <v>5404972.1600000001</v>
      </c>
      <c r="D203" s="91">
        <f t="shared" ref="D203:K203" si="26">SUM(D170:D181)</f>
        <v>1578019.41</v>
      </c>
      <c r="E203" s="91">
        <f t="shared" si="26"/>
        <v>6256544.5599999996</v>
      </c>
      <c r="F203" s="91">
        <f t="shared" si="26"/>
        <v>12122625.030000001</v>
      </c>
      <c r="G203" s="91">
        <f t="shared" si="26"/>
        <v>9959370.3499999996</v>
      </c>
      <c r="H203" s="91">
        <f t="shared" si="26"/>
        <v>3671179.4899999998</v>
      </c>
      <c r="I203" s="91">
        <f t="shared" si="26"/>
        <v>55147.470000000008</v>
      </c>
      <c r="J203" s="91">
        <f t="shared" si="26"/>
        <v>408457383.69999993</v>
      </c>
      <c r="K203" s="91">
        <f t="shared" si="26"/>
        <v>462570815.94</v>
      </c>
    </row>
    <row r="204" spans="1:11" ht="29.5" thickBot="1" x14ac:dyDescent="0.4">
      <c r="A204" s="83" t="s">
        <v>28</v>
      </c>
      <c r="B204" s="92">
        <f>(B203-B202)/B202</f>
        <v>-3.1066399542307832E-2</v>
      </c>
      <c r="C204" s="89">
        <f t="shared" ref="C204:K204" si="27">(C203-C202)/C202</f>
        <v>-7.8848887715209898E-2</v>
      </c>
      <c r="D204" s="92">
        <f t="shared" si="27"/>
        <v>-0.46576488459580095</v>
      </c>
      <c r="E204" s="89">
        <f t="shared" si="27"/>
        <v>-0.16429662530300357</v>
      </c>
      <c r="F204" s="92">
        <f t="shared" si="27"/>
        <v>3.5947890118764154E-2</v>
      </c>
      <c r="G204" s="89">
        <f t="shared" si="27"/>
        <v>2.8484669637743872E-2</v>
      </c>
      <c r="H204" s="92">
        <f t="shared" si="27"/>
        <v>4.0788576842691583E-2</v>
      </c>
      <c r="I204" s="89">
        <f t="shared" si="27"/>
        <v>-0.10801229333524388</v>
      </c>
      <c r="J204" s="92">
        <f t="shared" si="27"/>
        <v>0.13533120243938124</v>
      </c>
      <c r="K204" s="92">
        <f t="shared" si="27"/>
        <v>0.11034603878732954</v>
      </c>
    </row>
    <row r="205" spans="1:11" ht="15" thickBot="1" x14ac:dyDescent="0.4">
      <c r="A205" s="16"/>
      <c r="B205" s="12"/>
      <c r="C205" s="12"/>
      <c r="D205" s="12"/>
      <c r="E205" s="12"/>
      <c r="F205" s="12"/>
    </row>
    <row r="206" spans="1:11" ht="15" thickBot="1" x14ac:dyDescent="0.4">
      <c r="A206" s="87"/>
      <c r="B206" s="21" t="s">
        <v>308</v>
      </c>
      <c r="C206" s="88" t="s">
        <v>309</v>
      </c>
      <c r="D206" s="21" t="s">
        <v>310</v>
      </c>
      <c r="E206" s="88" t="s">
        <v>311</v>
      </c>
      <c r="F206" s="21" t="s">
        <v>312</v>
      </c>
      <c r="G206" s="88" t="s">
        <v>313</v>
      </c>
      <c r="H206" s="21" t="s">
        <v>314</v>
      </c>
      <c r="I206" s="88" t="s">
        <v>315</v>
      </c>
      <c r="J206" s="21" t="s">
        <v>316</v>
      </c>
      <c r="K206" s="21" t="s">
        <v>317</v>
      </c>
    </row>
    <row r="207" spans="1:11" ht="29" x14ac:dyDescent="0.35">
      <c r="A207" s="84" t="s">
        <v>17</v>
      </c>
      <c r="B207" s="93">
        <f>B169</f>
        <v>1876132.3</v>
      </c>
      <c r="C207" s="93">
        <f>C169</f>
        <v>636160.89</v>
      </c>
      <c r="D207" s="93">
        <f t="shared" ref="D207:K207" si="28">D169</f>
        <v>38508.019999999997</v>
      </c>
      <c r="E207" s="93">
        <f t="shared" si="28"/>
        <v>601126.82999999996</v>
      </c>
      <c r="F207" s="93">
        <f t="shared" si="28"/>
        <v>1002190.03</v>
      </c>
      <c r="G207" s="93">
        <f t="shared" si="28"/>
        <v>820877.24</v>
      </c>
      <c r="H207" s="93">
        <f t="shared" si="28"/>
        <v>281194.59000000003</v>
      </c>
      <c r="I207" s="93">
        <f t="shared" si="28"/>
        <v>3918.09</v>
      </c>
      <c r="J207" s="93">
        <f t="shared" si="28"/>
        <v>36731756.090000004</v>
      </c>
      <c r="K207" s="93">
        <f t="shared" si="28"/>
        <v>41991864.080000006</v>
      </c>
    </row>
    <row r="208" spans="1:11" ht="29" x14ac:dyDescent="0.35">
      <c r="A208" s="84" t="s">
        <v>18</v>
      </c>
      <c r="B208" s="93">
        <f>B181</f>
        <v>1775821.54</v>
      </c>
      <c r="C208" s="93">
        <f>C181</f>
        <v>621706.69999999995</v>
      </c>
      <c r="D208" s="93">
        <f t="shared" ref="D208:K208" si="29">D181</f>
        <v>146379.49</v>
      </c>
      <c r="E208" s="93">
        <f t="shared" si="29"/>
        <v>610758.76</v>
      </c>
      <c r="F208" s="93">
        <f t="shared" si="29"/>
        <v>1070670.3</v>
      </c>
      <c r="G208" s="93">
        <f t="shared" si="29"/>
        <v>1011079.87</v>
      </c>
      <c r="H208" s="93">
        <f t="shared" si="29"/>
        <v>344977.9</v>
      </c>
      <c r="I208" s="93">
        <f t="shared" si="29"/>
        <v>3796.05</v>
      </c>
      <c r="J208" s="93">
        <f t="shared" si="29"/>
        <v>42289413.029999994</v>
      </c>
      <c r="K208" s="93">
        <f t="shared" si="29"/>
        <v>47874603.639999993</v>
      </c>
    </row>
    <row r="209" spans="1:11" ht="29.5" thickBot="1" x14ac:dyDescent="0.4">
      <c r="A209" s="83" t="s">
        <v>28</v>
      </c>
      <c r="B209" s="92">
        <f>(B208-B207)/B207</f>
        <v>-5.3466783765729102E-2</v>
      </c>
      <c r="C209" s="89">
        <f t="shared" ref="C209:J209" si="30">(C208-C207)/C207</f>
        <v>-2.2720966075107291E-2</v>
      </c>
      <c r="D209" s="92">
        <f t="shared" si="30"/>
        <v>2.8012728257646073</v>
      </c>
      <c r="E209" s="89">
        <f t="shared" si="30"/>
        <v>1.6023124437816311E-2</v>
      </c>
      <c r="F209" s="92">
        <f t="shared" si="30"/>
        <v>6.8330623883775837E-2</v>
      </c>
      <c r="G209" s="89">
        <f>(G208-G207)/G207</f>
        <v>0.2317065460360431</v>
      </c>
      <c r="H209" s="92">
        <f>(H208-H207)/H207</f>
        <v>0.22682979071539033</v>
      </c>
      <c r="I209" s="89">
        <f t="shared" ref="I209" si="31">(I208-I207)/I207</f>
        <v>-3.1147829682319692E-2</v>
      </c>
      <c r="J209" s="92">
        <f t="shared" si="30"/>
        <v>0.15130387249612137</v>
      </c>
      <c r="K209" s="92">
        <f>(K208-K207)/K207</f>
        <v>0.14009236524467208</v>
      </c>
    </row>
  </sheetData>
  <pageMargins left="0.7" right="0.7" top="0.75" bottom="0.75" header="0.3" footer="0.3"/>
  <ignoredErrors>
    <ignoredError sqref="K2:K101 B185:J185 K103:K104 K106:K109 K110 K113:K121 K122:K145 K146:K157 B197:K19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216"/>
  <sheetViews>
    <sheetView zoomScaleNormal="100" workbookViewId="0">
      <pane ySplit="1" topLeftCell="A173" activePane="bottomLeft" state="frozen"/>
      <selection pane="bottomLeft" activeCell="F204" sqref="F204"/>
    </sheetView>
  </sheetViews>
  <sheetFormatPr defaultRowHeight="14.5" x14ac:dyDescent="0.35"/>
  <cols>
    <col min="1" max="1" width="11.54296875" style="16" customWidth="1"/>
    <col min="2" max="2" width="23.453125" style="12" customWidth="1"/>
    <col min="3" max="3" width="19.54296875" style="12" customWidth="1"/>
    <col min="4" max="5" width="16.54296875" style="12" customWidth="1"/>
    <col min="6" max="6" width="20.453125" style="12" customWidth="1"/>
    <col min="7" max="7" width="16.54296875" style="12" customWidth="1"/>
    <col min="8" max="9" width="16.453125" customWidth="1"/>
    <col min="10" max="10" width="23.453125" customWidth="1"/>
    <col min="11" max="11" width="11.54296875" customWidth="1"/>
    <col min="12" max="12" width="16" style="17" customWidth="1"/>
    <col min="13" max="13" width="18.453125" style="17" customWidth="1"/>
    <col min="14" max="14" width="16.81640625" style="17" customWidth="1"/>
    <col min="15" max="15" width="20.453125" style="17" customWidth="1"/>
    <col min="16" max="16" width="13.81640625" style="17" customWidth="1"/>
    <col min="17" max="17" width="13.453125" customWidth="1"/>
    <col min="18" max="18" width="15.54296875" customWidth="1"/>
    <col min="19" max="19" width="23" customWidth="1"/>
  </cols>
  <sheetData>
    <row r="1" spans="1:19" s="5" customFormat="1" ht="35.25" customHeight="1" x14ac:dyDescent="0.35">
      <c r="A1" s="1" t="s">
        <v>0</v>
      </c>
      <c r="B1" s="2" t="s">
        <v>19</v>
      </c>
      <c r="C1" s="3" t="s">
        <v>20</v>
      </c>
      <c r="D1" s="4" t="s">
        <v>21</v>
      </c>
      <c r="E1" s="4" t="s">
        <v>22</v>
      </c>
      <c r="F1" s="4" t="s">
        <v>23</v>
      </c>
      <c r="G1" s="4" t="s">
        <v>24</v>
      </c>
      <c r="H1" s="4" t="s">
        <v>25</v>
      </c>
      <c r="I1" s="4" t="s">
        <v>26</v>
      </c>
      <c r="J1" s="2" t="s">
        <v>27</v>
      </c>
      <c r="L1" s="6" t="s">
        <v>20</v>
      </c>
      <c r="M1" s="124" t="s">
        <v>21</v>
      </c>
      <c r="N1" s="6" t="s">
        <v>22</v>
      </c>
      <c r="O1" s="124" t="s">
        <v>23</v>
      </c>
      <c r="P1" s="6" t="s">
        <v>24</v>
      </c>
      <c r="Q1" s="124" t="s">
        <v>25</v>
      </c>
      <c r="R1" s="6" t="s">
        <v>26</v>
      </c>
      <c r="S1" s="6" t="s">
        <v>27</v>
      </c>
    </row>
    <row r="2" spans="1:19" x14ac:dyDescent="0.35">
      <c r="A2" s="7">
        <v>40179</v>
      </c>
      <c r="B2" s="141">
        <f>SUM(C2:J2)</f>
        <v>267242000</v>
      </c>
      <c r="C2" s="154">
        <v>58748073</v>
      </c>
      <c r="D2" s="155">
        <v>12343358</v>
      </c>
      <c r="E2" s="155">
        <v>87159411</v>
      </c>
      <c r="F2" s="155">
        <v>29465562</v>
      </c>
      <c r="G2" s="155">
        <v>18583602</v>
      </c>
      <c r="H2" s="155">
        <v>26266729</v>
      </c>
      <c r="I2" s="155">
        <v>17286848</v>
      </c>
      <c r="J2" s="141">
        <v>17388417</v>
      </c>
      <c r="L2" s="13">
        <f t="shared" ref="L2:L33" si="0">C2/$B2</f>
        <v>0.21983098839254309</v>
      </c>
      <c r="M2" s="60">
        <f t="shared" ref="M2:M33" si="1">D2/$B2</f>
        <v>4.6187942015102415E-2</v>
      </c>
      <c r="N2" s="13">
        <f t="shared" ref="N2:N33" si="2">E2/$B2</f>
        <v>0.3261441352781374</v>
      </c>
      <c r="O2" s="60">
        <f t="shared" ref="O2:O33" si="3">F2/$B2</f>
        <v>0.11025797591695916</v>
      </c>
      <c r="P2" s="13">
        <f t="shared" ref="P2:P33" si="4">G2/$B2</f>
        <v>6.953847823321184E-2</v>
      </c>
      <c r="Q2" s="60">
        <f t="shared" ref="Q2:Q33" si="5">H2/$B2</f>
        <v>9.8288177008105007E-2</v>
      </c>
      <c r="R2" s="13">
        <f t="shared" ref="R2:R33" si="6">I2/$B2</f>
        <v>6.4686119696754252E-2</v>
      </c>
      <c r="S2" s="13">
        <f t="shared" ref="S2:S33" si="7">J2/$B2</f>
        <v>6.5066183459186799E-2</v>
      </c>
    </row>
    <row r="3" spans="1:19" x14ac:dyDescent="0.35">
      <c r="A3" s="7">
        <v>40210</v>
      </c>
      <c r="B3" s="141">
        <f t="shared" ref="B3:B66" si="8">SUM(C3:J3)</f>
        <v>272989887.13</v>
      </c>
      <c r="C3" s="154">
        <v>60082568.130000003</v>
      </c>
      <c r="D3" s="155">
        <v>14868771</v>
      </c>
      <c r="E3" s="155">
        <v>93342452</v>
      </c>
      <c r="F3" s="155">
        <v>25894836</v>
      </c>
      <c r="G3" s="155">
        <v>16017321</v>
      </c>
      <c r="H3" s="155">
        <v>27144708</v>
      </c>
      <c r="I3" s="155">
        <v>19445524</v>
      </c>
      <c r="J3" s="141">
        <v>16193707</v>
      </c>
      <c r="L3" s="13">
        <f t="shared" si="0"/>
        <v>0.22009082007271646</v>
      </c>
      <c r="M3" s="60">
        <f t="shared" si="1"/>
        <v>5.4466380261622552E-2</v>
      </c>
      <c r="N3" s="13">
        <f t="shared" si="2"/>
        <v>0.34192640973381394</v>
      </c>
      <c r="O3" s="60">
        <f t="shared" si="3"/>
        <v>9.4856392931759667E-2</v>
      </c>
      <c r="P3" s="13">
        <f t="shared" si="4"/>
        <v>5.8673678971750416E-2</v>
      </c>
      <c r="Q3" s="60">
        <f t="shared" si="5"/>
        <v>9.9434848247962643E-2</v>
      </c>
      <c r="R3" s="13">
        <f t="shared" si="6"/>
        <v>7.1231664309747436E-2</v>
      </c>
      <c r="S3" s="13">
        <f t="shared" si="7"/>
        <v>5.9319805470626923E-2</v>
      </c>
    </row>
    <row r="4" spans="1:19" x14ac:dyDescent="0.35">
      <c r="A4" s="7">
        <v>40238</v>
      </c>
      <c r="B4" s="141">
        <f t="shared" si="8"/>
        <v>327034084</v>
      </c>
      <c r="C4" s="154">
        <v>62957932</v>
      </c>
      <c r="D4" s="155">
        <v>19533128</v>
      </c>
      <c r="E4" s="155">
        <v>106770391</v>
      </c>
      <c r="F4" s="155">
        <v>33938461</v>
      </c>
      <c r="G4" s="155">
        <v>19767419</v>
      </c>
      <c r="H4" s="155">
        <v>39782680</v>
      </c>
      <c r="I4" s="155">
        <v>22862332</v>
      </c>
      <c r="J4" s="141">
        <v>21421741</v>
      </c>
      <c r="L4" s="13">
        <f t="shared" si="0"/>
        <v>0.19251183616689935</v>
      </c>
      <c r="M4" s="60">
        <f t="shared" si="1"/>
        <v>5.9728110786152797E-2</v>
      </c>
      <c r="N4" s="13">
        <f t="shared" si="2"/>
        <v>0.32648092729074685</v>
      </c>
      <c r="O4" s="60">
        <f t="shared" si="3"/>
        <v>0.10377652562966495</v>
      </c>
      <c r="P4" s="13">
        <f t="shared" si="4"/>
        <v>6.0444522351376685E-2</v>
      </c>
      <c r="Q4" s="60">
        <f t="shared" si="5"/>
        <v>0.12164689231597034</v>
      </c>
      <c r="R4" s="13">
        <f t="shared" si="6"/>
        <v>6.9908101688874735E-2</v>
      </c>
      <c r="S4" s="13">
        <f t="shared" si="7"/>
        <v>6.5503083770314288E-2</v>
      </c>
    </row>
    <row r="5" spans="1:19" x14ac:dyDescent="0.35">
      <c r="A5" s="7">
        <v>40269</v>
      </c>
      <c r="B5" s="141">
        <f t="shared" si="8"/>
        <v>304471499</v>
      </c>
      <c r="C5" s="154">
        <v>64298873</v>
      </c>
      <c r="D5" s="155">
        <v>15280086</v>
      </c>
      <c r="E5" s="155">
        <v>99440488</v>
      </c>
      <c r="F5" s="155">
        <v>33716013</v>
      </c>
      <c r="G5" s="155">
        <v>18219039</v>
      </c>
      <c r="H5" s="155">
        <v>34721838</v>
      </c>
      <c r="I5" s="155">
        <v>20547055</v>
      </c>
      <c r="J5" s="141">
        <v>18248107</v>
      </c>
      <c r="L5" s="13">
        <f t="shared" si="0"/>
        <v>0.21118191098734007</v>
      </c>
      <c r="M5" s="60">
        <f t="shared" si="1"/>
        <v>5.0185603743488648E-2</v>
      </c>
      <c r="N5" s="13">
        <f t="shared" si="2"/>
        <v>0.32660031670156425</v>
      </c>
      <c r="O5" s="60">
        <f t="shared" si="3"/>
        <v>0.11073618749451489</v>
      </c>
      <c r="P5" s="13">
        <f t="shared" si="4"/>
        <v>5.9838241214163694E-2</v>
      </c>
      <c r="Q5" s="60">
        <f t="shared" si="5"/>
        <v>0.1140396986714346</v>
      </c>
      <c r="R5" s="13">
        <f t="shared" si="6"/>
        <v>6.7484329625217235E-2</v>
      </c>
      <c r="S5" s="13">
        <f t="shared" si="7"/>
        <v>5.9933711562276636E-2</v>
      </c>
    </row>
    <row r="6" spans="1:19" x14ac:dyDescent="0.35">
      <c r="A6" s="7">
        <v>40299</v>
      </c>
      <c r="B6" s="141">
        <f t="shared" si="8"/>
        <v>307109165</v>
      </c>
      <c r="C6" s="154">
        <v>61734044</v>
      </c>
      <c r="D6" s="155">
        <v>15289902</v>
      </c>
      <c r="E6" s="155">
        <v>95758677</v>
      </c>
      <c r="F6" s="155">
        <v>32108987</v>
      </c>
      <c r="G6" s="155">
        <v>31046403</v>
      </c>
      <c r="H6" s="155">
        <v>30644063</v>
      </c>
      <c r="I6" s="155">
        <v>20481952</v>
      </c>
      <c r="J6" s="141">
        <v>20045137</v>
      </c>
      <c r="L6" s="13">
        <f t="shared" si="0"/>
        <v>0.20101661244788965</v>
      </c>
      <c r="M6" s="60">
        <f t="shared" si="1"/>
        <v>4.978653763068256E-2</v>
      </c>
      <c r="N6" s="13">
        <f t="shared" si="2"/>
        <v>0.31180664048238355</v>
      </c>
      <c r="O6" s="60">
        <f t="shared" si="3"/>
        <v>0.10455235681422924</v>
      </c>
      <c r="P6" s="13">
        <f t="shared" si="4"/>
        <v>0.10109240145926612</v>
      </c>
      <c r="Q6" s="60">
        <f t="shared" si="5"/>
        <v>9.9782313562670782E-2</v>
      </c>
      <c r="R6" s="13">
        <f t="shared" si="6"/>
        <v>6.6692740999767949E-2</v>
      </c>
      <c r="S6" s="13">
        <f t="shared" si="7"/>
        <v>6.5270396603110167E-2</v>
      </c>
    </row>
    <row r="7" spans="1:19" x14ac:dyDescent="0.35">
      <c r="A7" s="7">
        <v>40330</v>
      </c>
      <c r="B7" s="141">
        <f t="shared" si="8"/>
        <v>355273052</v>
      </c>
      <c r="C7" s="154">
        <v>64165729</v>
      </c>
      <c r="D7" s="155">
        <v>16268260</v>
      </c>
      <c r="E7" s="155">
        <v>121902637</v>
      </c>
      <c r="F7" s="155">
        <v>35933212</v>
      </c>
      <c r="G7" s="155">
        <v>21067342</v>
      </c>
      <c r="H7" s="155">
        <v>40044121</v>
      </c>
      <c r="I7" s="155">
        <v>32953574</v>
      </c>
      <c r="J7" s="141">
        <v>22938177</v>
      </c>
      <c r="L7" s="13">
        <f t="shared" si="0"/>
        <v>0.18060961460144745</v>
      </c>
      <c r="M7" s="60">
        <f t="shared" si="1"/>
        <v>4.5790863980305491E-2</v>
      </c>
      <c r="N7" s="13">
        <f t="shared" si="2"/>
        <v>0.34312379256955294</v>
      </c>
      <c r="O7" s="60">
        <f t="shared" si="3"/>
        <v>0.10114252065478921</v>
      </c>
      <c r="P7" s="13">
        <f t="shared" si="4"/>
        <v>5.9299014888413208E-2</v>
      </c>
      <c r="Q7" s="60">
        <f t="shared" si="5"/>
        <v>0.11271364595364806</v>
      </c>
      <c r="R7" s="13">
        <f t="shared" si="6"/>
        <v>9.2755625045267992E-2</v>
      </c>
      <c r="S7" s="13">
        <f t="shared" si="7"/>
        <v>6.4564922306575623E-2</v>
      </c>
    </row>
    <row r="8" spans="1:19" x14ac:dyDescent="0.35">
      <c r="A8" s="7">
        <v>40360</v>
      </c>
      <c r="B8" s="141">
        <f t="shared" si="8"/>
        <v>294217840.00999999</v>
      </c>
      <c r="C8" s="154">
        <v>62872734</v>
      </c>
      <c r="D8" s="155">
        <v>14586539.01</v>
      </c>
      <c r="E8" s="155">
        <v>93964240</v>
      </c>
      <c r="F8" s="155">
        <v>31139806</v>
      </c>
      <c r="G8" s="155">
        <v>19623106</v>
      </c>
      <c r="H8" s="155">
        <v>34093390</v>
      </c>
      <c r="I8" s="155">
        <v>20438382</v>
      </c>
      <c r="J8" s="141">
        <v>17499643</v>
      </c>
      <c r="L8" s="13">
        <f t="shared" si="0"/>
        <v>0.21369449927938788</v>
      </c>
      <c r="M8" s="60">
        <f t="shared" si="1"/>
        <v>4.9577343812680516E-2</v>
      </c>
      <c r="N8" s="13">
        <f t="shared" si="2"/>
        <v>0.31936962081159426</v>
      </c>
      <c r="O8" s="60">
        <f t="shared" si="3"/>
        <v>0.10583928560872315</v>
      </c>
      <c r="P8" s="13">
        <f t="shared" si="4"/>
        <v>6.6695840059640993E-2</v>
      </c>
      <c r="Q8" s="60">
        <f t="shared" si="5"/>
        <v>0.11587805144256794</v>
      </c>
      <c r="R8" s="13">
        <f t="shared" si="6"/>
        <v>6.9466834503663449E-2</v>
      </c>
      <c r="S8" s="13">
        <f t="shared" si="7"/>
        <v>5.947852448174188E-2</v>
      </c>
    </row>
    <row r="9" spans="1:19" x14ac:dyDescent="0.35">
      <c r="A9" s="7">
        <v>40391</v>
      </c>
      <c r="B9" s="141">
        <f t="shared" si="8"/>
        <v>296032452</v>
      </c>
      <c r="C9" s="154">
        <v>62795876</v>
      </c>
      <c r="D9" s="155">
        <v>13755535</v>
      </c>
      <c r="E9" s="155">
        <v>96063225</v>
      </c>
      <c r="F9" s="155">
        <v>33737398</v>
      </c>
      <c r="G9" s="155">
        <v>17649225</v>
      </c>
      <c r="H9" s="155">
        <v>28063137</v>
      </c>
      <c r="I9" s="155">
        <v>20952741</v>
      </c>
      <c r="J9" s="141">
        <v>23015315</v>
      </c>
      <c r="L9" s="13">
        <f t="shared" si="0"/>
        <v>0.21212497337960773</v>
      </c>
      <c r="M9" s="60">
        <f t="shared" si="1"/>
        <v>4.6466307687104517E-2</v>
      </c>
      <c r="N9" s="13">
        <f t="shared" si="2"/>
        <v>0.32450234543880346</v>
      </c>
      <c r="O9" s="60">
        <f t="shared" si="3"/>
        <v>0.11396520135569461</v>
      </c>
      <c r="P9" s="13">
        <f t="shared" si="4"/>
        <v>5.9619223773480078E-2</v>
      </c>
      <c r="Q9" s="60">
        <f t="shared" si="5"/>
        <v>9.4797502133313408E-2</v>
      </c>
      <c r="R9" s="13">
        <f t="shared" si="6"/>
        <v>7.0778527348751619E-2</v>
      </c>
      <c r="S9" s="13">
        <f t="shared" si="7"/>
        <v>7.77459188832446E-2</v>
      </c>
    </row>
    <row r="10" spans="1:19" x14ac:dyDescent="0.35">
      <c r="A10" s="7">
        <v>40422</v>
      </c>
      <c r="B10" s="141">
        <f t="shared" si="8"/>
        <v>309002737</v>
      </c>
      <c r="C10" s="154">
        <v>56559664</v>
      </c>
      <c r="D10" s="155">
        <v>16373283</v>
      </c>
      <c r="E10" s="155">
        <v>97162790</v>
      </c>
      <c r="F10" s="155">
        <v>32687373</v>
      </c>
      <c r="G10" s="155">
        <v>20453883</v>
      </c>
      <c r="H10" s="155">
        <v>37954030</v>
      </c>
      <c r="I10" s="155">
        <v>23271838</v>
      </c>
      <c r="J10" s="141">
        <v>24539876</v>
      </c>
      <c r="L10" s="13">
        <f t="shared" si="0"/>
        <v>0.18303936252836492</v>
      </c>
      <c r="M10" s="60">
        <f t="shared" si="1"/>
        <v>5.2987501531418471E-2</v>
      </c>
      <c r="N10" s="13">
        <f t="shared" si="2"/>
        <v>0.31443990089964802</v>
      </c>
      <c r="O10" s="60">
        <f t="shared" si="3"/>
        <v>0.10578344165281617</v>
      </c>
      <c r="P10" s="13">
        <f t="shared" si="4"/>
        <v>6.619320980318695E-2</v>
      </c>
      <c r="Q10" s="60">
        <f t="shared" si="5"/>
        <v>0.12282748809438539</v>
      </c>
      <c r="R10" s="13">
        <f t="shared" si="6"/>
        <v>7.5312724495382052E-2</v>
      </c>
      <c r="S10" s="13">
        <f t="shared" si="7"/>
        <v>7.9416370994798022E-2</v>
      </c>
    </row>
    <row r="11" spans="1:19" x14ac:dyDescent="0.35">
      <c r="A11" s="7">
        <v>40452</v>
      </c>
      <c r="B11" s="141">
        <f t="shared" si="8"/>
        <v>288660298</v>
      </c>
      <c r="C11" s="154">
        <v>62222213</v>
      </c>
      <c r="D11" s="155">
        <v>15136330</v>
      </c>
      <c r="E11" s="155">
        <v>93342901</v>
      </c>
      <c r="F11" s="155">
        <v>32193536</v>
      </c>
      <c r="G11" s="155">
        <v>16700629</v>
      </c>
      <c r="H11" s="155">
        <v>28806397</v>
      </c>
      <c r="I11" s="155">
        <v>20734801</v>
      </c>
      <c r="J11" s="141">
        <v>19523491</v>
      </c>
      <c r="L11" s="13">
        <f t="shared" si="0"/>
        <v>0.21555514710928483</v>
      </c>
      <c r="M11" s="60">
        <f t="shared" si="1"/>
        <v>5.2436480197910695E-2</v>
      </c>
      <c r="N11" s="13">
        <f t="shared" si="2"/>
        <v>0.32336591365952239</v>
      </c>
      <c r="O11" s="60">
        <f t="shared" si="3"/>
        <v>0.11152741205858521</v>
      </c>
      <c r="P11" s="13">
        <f t="shared" si="4"/>
        <v>5.7855649411128925E-2</v>
      </c>
      <c r="Q11" s="60">
        <f t="shared" si="5"/>
        <v>9.9793415303686822E-2</v>
      </c>
      <c r="R11" s="13">
        <f t="shared" si="6"/>
        <v>7.1831149429493077E-2</v>
      </c>
      <c r="S11" s="13">
        <f t="shared" si="7"/>
        <v>6.7634832830388056E-2</v>
      </c>
    </row>
    <row r="12" spans="1:19" x14ac:dyDescent="0.35">
      <c r="A12" s="7">
        <v>40483</v>
      </c>
      <c r="B12" s="141">
        <f t="shared" si="8"/>
        <v>310580194</v>
      </c>
      <c r="C12" s="154">
        <v>60354292</v>
      </c>
      <c r="D12" s="155">
        <v>19483589</v>
      </c>
      <c r="E12" s="155">
        <v>114135633</v>
      </c>
      <c r="F12" s="155">
        <v>29500368</v>
      </c>
      <c r="G12" s="155">
        <v>16821431</v>
      </c>
      <c r="H12" s="155">
        <v>27583027</v>
      </c>
      <c r="I12" s="155">
        <v>19589099</v>
      </c>
      <c r="J12" s="141">
        <v>23112755</v>
      </c>
      <c r="L12" s="13">
        <f t="shared" si="0"/>
        <v>0.19432756230424661</v>
      </c>
      <c r="M12" s="60">
        <f t="shared" si="1"/>
        <v>6.2732876649565103E-2</v>
      </c>
      <c r="N12" s="13">
        <f t="shared" si="2"/>
        <v>0.36749166625866686</v>
      </c>
      <c r="O12" s="60">
        <f t="shared" si="3"/>
        <v>9.4984704658919755E-2</v>
      </c>
      <c r="P12" s="13">
        <f t="shared" si="4"/>
        <v>5.4161312681773904E-2</v>
      </c>
      <c r="Q12" s="60">
        <f t="shared" si="5"/>
        <v>8.8811287818308202E-2</v>
      </c>
      <c r="R12" s="13">
        <f t="shared" si="6"/>
        <v>6.3072595672343482E-2</v>
      </c>
      <c r="S12" s="13">
        <f t="shared" si="7"/>
        <v>7.4417993956176098E-2</v>
      </c>
    </row>
    <row r="13" spans="1:19" x14ac:dyDescent="0.35">
      <c r="A13" s="7">
        <v>40513</v>
      </c>
      <c r="B13" s="141">
        <f t="shared" si="8"/>
        <v>405483778</v>
      </c>
      <c r="C13" s="154">
        <v>77448014</v>
      </c>
      <c r="D13" s="155">
        <v>29455707</v>
      </c>
      <c r="E13" s="155">
        <v>155591300</v>
      </c>
      <c r="F13" s="155">
        <v>31432517</v>
      </c>
      <c r="G13" s="155">
        <v>24333675</v>
      </c>
      <c r="H13" s="155">
        <v>32385932</v>
      </c>
      <c r="I13" s="155">
        <v>24244592</v>
      </c>
      <c r="J13" s="141">
        <v>30592041</v>
      </c>
      <c r="L13" s="13">
        <f t="shared" si="0"/>
        <v>0.19100151029963028</v>
      </c>
      <c r="M13" s="60">
        <f t="shared" si="1"/>
        <v>7.2643367252043317E-2</v>
      </c>
      <c r="N13" s="13">
        <f t="shared" si="2"/>
        <v>0.38371769338698425</v>
      </c>
      <c r="O13" s="60">
        <f t="shared" si="3"/>
        <v>7.7518556118415169E-2</v>
      </c>
      <c r="P13" s="13">
        <f t="shared" si="4"/>
        <v>6.001146363985984E-2</v>
      </c>
      <c r="Q13" s="60">
        <f t="shared" si="5"/>
        <v>7.9869858566820398E-2</v>
      </c>
      <c r="R13" s="13">
        <f t="shared" si="6"/>
        <v>5.9791768044540616E-2</v>
      </c>
      <c r="S13" s="13">
        <f t="shared" si="7"/>
        <v>7.5445782691706098E-2</v>
      </c>
    </row>
    <row r="14" spans="1:19" x14ac:dyDescent="0.35">
      <c r="A14" s="7">
        <v>40544</v>
      </c>
      <c r="B14" s="141">
        <f t="shared" si="8"/>
        <v>275116927</v>
      </c>
      <c r="C14" s="154">
        <v>60618489</v>
      </c>
      <c r="D14" s="155">
        <v>12502940</v>
      </c>
      <c r="E14" s="155">
        <v>86582818</v>
      </c>
      <c r="F14" s="155">
        <v>31419595</v>
      </c>
      <c r="G14" s="155">
        <v>21621168</v>
      </c>
      <c r="H14" s="155">
        <v>24886467</v>
      </c>
      <c r="I14" s="155">
        <v>19821700</v>
      </c>
      <c r="J14" s="141">
        <v>17663750</v>
      </c>
      <c r="L14" s="13">
        <f t="shared" si="0"/>
        <v>0.22033718412389799</v>
      </c>
      <c r="M14" s="60">
        <f t="shared" si="1"/>
        <v>4.5445913257093046E-2</v>
      </c>
      <c r="N14" s="13">
        <f t="shared" si="2"/>
        <v>0.31471279846041605</v>
      </c>
      <c r="O14" s="60">
        <f t="shared" si="3"/>
        <v>0.1142045142136965</v>
      </c>
      <c r="P14" s="13">
        <f t="shared" si="4"/>
        <v>7.8589013899533711E-2</v>
      </c>
      <c r="Q14" s="60">
        <f t="shared" si="5"/>
        <v>9.0457781974280338E-2</v>
      </c>
      <c r="R14" s="13">
        <f t="shared" si="6"/>
        <v>7.2048274950381366E-2</v>
      </c>
      <c r="S14" s="13">
        <f t="shared" si="7"/>
        <v>6.4204519120700992E-2</v>
      </c>
    </row>
    <row r="15" spans="1:19" x14ac:dyDescent="0.35">
      <c r="A15" s="7">
        <v>40575</v>
      </c>
      <c r="B15" s="141">
        <f t="shared" si="8"/>
        <v>288765885</v>
      </c>
      <c r="C15" s="154">
        <v>66449517</v>
      </c>
      <c r="D15" s="155">
        <v>16732052</v>
      </c>
      <c r="E15" s="155">
        <v>90860565</v>
      </c>
      <c r="F15" s="155">
        <v>30434283</v>
      </c>
      <c r="G15" s="155">
        <v>18458040</v>
      </c>
      <c r="H15" s="155">
        <v>26809054</v>
      </c>
      <c r="I15" s="155">
        <v>19151920</v>
      </c>
      <c r="J15" s="141">
        <v>19870454</v>
      </c>
      <c r="L15" s="13">
        <f t="shared" si="0"/>
        <v>0.23011553805949064</v>
      </c>
      <c r="M15" s="60">
        <f t="shared" si="1"/>
        <v>5.7943312798185979E-2</v>
      </c>
      <c r="N15" s="13">
        <f t="shared" si="2"/>
        <v>0.31465131346800196</v>
      </c>
      <c r="O15" s="60">
        <f t="shared" si="3"/>
        <v>0.1053943162295643</v>
      </c>
      <c r="P15" s="13">
        <f t="shared" si="4"/>
        <v>6.3920431598074687E-2</v>
      </c>
      <c r="Q15" s="60">
        <f t="shared" si="5"/>
        <v>9.2840101246724482E-2</v>
      </c>
      <c r="R15" s="13">
        <f t="shared" si="6"/>
        <v>6.6323347025567095E-2</v>
      </c>
      <c r="S15" s="13">
        <f t="shared" si="7"/>
        <v>6.8811639574390862E-2</v>
      </c>
    </row>
    <row r="16" spans="1:19" x14ac:dyDescent="0.35">
      <c r="A16" s="7">
        <v>40603</v>
      </c>
      <c r="B16" s="141">
        <f t="shared" si="8"/>
        <v>366558015</v>
      </c>
      <c r="C16" s="154">
        <v>76165886</v>
      </c>
      <c r="D16" s="155">
        <v>20882686</v>
      </c>
      <c r="E16" s="155">
        <v>107382672</v>
      </c>
      <c r="F16" s="155">
        <v>36464466</v>
      </c>
      <c r="G16" s="155">
        <v>23478757</v>
      </c>
      <c r="H16" s="155">
        <v>49169044</v>
      </c>
      <c r="I16" s="155">
        <v>26650200</v>
      </c>
      <c r="J16" s="141">
        <v>26364304</v>
      </c>
      <c r="L16" s="13">
        <f t="shared" si="0"/>
        <v>0.20778671556261019</v>
      </c>
      <c r="M16" s="60">
        <f t="shared" si="1"/>
        <v>5.6969661405439465E-2</v>
      </c>
      <c r="N16" s="13">
        <f t="shared" si="2"/>
        <v>0.2929486400672483</v>
      </c>
      <c r="O16" s="60">
        <f t="shared" si="3"/>
        <v>9.9478021234919667E-2</v>
      </c>
      <c r="P16" s="13">
        <f t="shared" si="4"/>
        <v>6.4051953685967014E-2</v>
      </c>
      <c r="Q16" s="60">
        <f t="shared" si="5"/>
        <v>0.13413714061060703</v>
      </c>
      <c r="R16" s="13">
        <f t="shared" si="6"/>
        <v>7.2703907456504527E-2</v>
      </c>
      <c r="S16" s="13">
        <f t="shared" si="7"/>
        <v>7.1923959976703825E-2</v>
      </c>
    </row>
    <row r="17" spans="1:19" x14ac:dyDescent="0.35">
      <c r="A17" s="7">
        <v>40634</v>
      </c>
      <c r="B17" s="141">
        <f t="shared" si="8"/>
        <v>315803814.5</v>
      </c>
      <c r="C17" s="154">
        <v>68733234</v>
      </c>
      <c r="D17" s="155">
        <v>17167717</v>
      </c>
      <c r="E17" s="155">
        <v>95059464</v>
      </c>
      <c r="F17" s="155">
        <v>33697762</v>
      </c>
      <c r="G17" s="155">
        <v>21891261.5</v>
      </c>
      <c r="H17" s="155">
        <v>36796025</v>
      </c>
      <c r="I17" s="155">
        <v>22302842</v>
      </c>
      <c r="J17" s="141">
        <v>20155509</v>
      </c>
      <c r="L17" s="13">
        <f t="shared" si="0"/>
        <v>0.21764535716208078</v>
      </c>
      <c r="M17" s="60">
        <f t="shared" si="1"/>
        <v>5.4361968449244298E-2</v>
      </c>
      <c r="N17" s="13">
        <f t="shared" si="2"/>
        <v>0.30100796645063954</v>
      </c>
      <c r="O17" s="60">
        <f t="shared" si="3"/>
        <v>0.10670473392904506</v>
      </c>
      <c r="P17" s="13">
        <f t="shared" si="4"/>
        <v>6.9319180120289522E-2</v>
      </c>
      <c r="Q17" s="60">
        <f t="shared" si="5"/>
        <v>0.11651545456554326</v>
      </c>
      <c r="R17" s="13">
        <f t="shared" si="6"/>
        <v>7.0622459185020386E-2</v>
      </c>
      <c r="S17" s="13">
        <f t="shared" si="7"/>
        <v>6.3822880138137153E-2</v>
      </c>
    </row>
    <row r="18" spans="1:19" x14ac:dyDescent="0.35">
      <c r="A18" s="7">
        <v>40664</v>
      </c>
      <c r="B18" s="141">
        <f t="shared" si="8"/>
        <v>314432118</v>
      </c>
      <c r="C18" s="154">
        <v>68576384</v>
      </c>
      <c r="D18" s="155">
        <v>16129951</v>
      </c>
      <c r="E18" s="155">
        <v>95466695</v>
      </c>
      <c r="F18" s="155">
        <v>40239767</v>
      </c>
      <c r="G18" s="155">
        <v>16098989</v>
      </c>
      <c r="H18" s="155">
        <v>36692916</v>
      </c>
      <c r="I18" s="155">
        <v>23197242</v>
      </c>
      <c r="J18" s="141">
        <v>18030174</v>
      </c>
      <c r="L18" s="13">
        <f t="shared" si="0"/>
        <v>0.21809598979961711</v>
      </c>
      <c r="M18" s="60">
        <f t="shared" si="1"/>
        <v>5.1298674901906809E-2</v>
      </c>
      <c r="N18" s="13">
        <f t="shared" si="2"/>
        <v>0.30361623235957086</v>
      </c>
      <c r="O18" s="60">
        <f t="shared" si="3"/>
        <v>0.12797600720928898</v>
      </c>
      <c r="P18" s="13">
        <f t="shared" si="4"/>
        <v>5.1200205317447879E-2</v>
      </c>
      <c r="Q18" s="60">
        <f t="shared" si="5"/>
        <v>0.11669582685570308</v>
      </c>
      <c r="R18" s="13">
        <f t="shared" si="6"/>
        <v>7.3775039736875742E-2</v>
      </c>
      <c r="S18" s="13">
        <f t="shared" si="7"/>
        <v>5.7342023819589576E-2</v>
      </c>
    </row>
    <row r="19" spans="1:19" x14ac:dyDescent="0.35">
      <c r="A19" s="7">
        <v>40695</v>
      </c>
      <c r="B19" s="141">
        <f t="shared" si="8"/>
        <v>356528263</v>
      </c>
      <c r="C19" s="154">
        <v>71169455</v>
      </c>
      <c r="D19" s="155">
        <v>17411524</v>
      </c>
      <c r="E19" s="155">
        <v>102593875</v>
      </c>
      <c r="F19" s="155">
        <v>39460245</v>
      </c>
      <c r="G19" s="155">
        <v>24483515</v>
      </c>
      <c r="H19" s="155">
        <v>42649041</v>
      </c>
      <c r="I19" s="155">
        <v>28558823</v>
      </c>
      <c r="J19" s="141">
        <v>30201785</v>
      </c>
      <c r="L19" s="13">
        <f t="shared" si="0"/>
        <v>0.19961798933174618</v>
      </c>
      <c r="M19" s="60">
        <f t="shared" si="1"/>
        <v>4.8836307824493566E-2</v>
      </c>
      <c r="N19" s="13">
        <f t="shared" si="2"/>
        <v>0.28775804234067132</v>
      </c>
      <c r="O19" s="60">
        <f t="shared" si="3"/>
        <v>0.11067914972003215</v>
      </c>
      <c r="P19" s="13">
        <f t="shared" si="4"/>
        <v>6.8672017174694511E-2</v>
      </c>
      <c r="Q19" s="60">
        <f t="shared" si="5"/>
        <v>0.11962316995889888</v>
      </c>
      <c r="R19" s="13">
        <f t="shared" si="6"/>
        <v>8.0102549962497646E-2</v>
      </c>
      <c r="S19" s="13">
        <f t="shared" si="7"/>
        <v>8.4710773686965737E-2</v>
      </c>
    </row>
    <row r="20" spans="1:19" x14ac:dyDescent="0.35">
      <c r="A20" s="7">
        <v>40725</v>
      </c>
      <c r="B20" s="141">
        <f t="shared" si="8"/>
        <v>294298472</v>
      </c>
      <c r="C20" s="154">
        <v>62909068</v>
      </c>
      <c r="D20" s="155">
        <v>14558666</v>
      </c>
      <c r="E20" s="155">
        <v>93888024</v>
      </c>
      <c r="F20" s="155">
        <v>31167528</v>
      </c>
      <c r="G20" s="155">
        <v>19513171</v>
      </c>
      <c r="H20" s="155">
        <v>34183600</v>
      </c>
      <c r="I20" s="155">
        <v>20831533</v>
      </c>
      <c r="J20" s="141">
        <v>17246882</v>
      </c>
      <c r="L20" s="13">
        <f t="shared" si="0"/>
        <v>0.21375941088814079</v>
      </c>
      <c r="M20" s="60">
        <f t="shared" si="1"/>
        <v>4.9469050590245672E-2</v>
      </c>
      <c r="N20" s="13">
        <f t="shared" si="2"/>
        <v>0.3190231446393646</v>
      </c>
      <c r="O20" s="60">
        <f t="shared" si="3"/>
        <v>0.10590448461451747</v>
      </c>
      <c r="P20" s="13">
        <f t="shared" si="4"/>
        <v>6.6304017371860494E-2</v>
      </c>
      <c r="Q20" s="60">
        <f t="shared" si="5"/>
        <v>0.11615282868339187</v>
      </c>
      <c r="R20" s="13">
        <f t="shared" si="6"/>
        <v>7.0783694045139317E-2</v>
      </c>
      <c r="S20" s="13">
        <f t="shared" si="7"/>
        <v>5.8603369167339749E-2</v>
      </c>
    </row>
    <row r="21" spans="1:19" x14ac:dyDescent="0.35">
      <c r="A21" s="7">
        <v>40756</v>
      </c>
      <c r="B21" s="141">
        <f t="shared" si="8"/>
        <v>314465441</v>
      </c>
      <c r="C21" s="154">
        <v>66704446</v>
      </c>
      <c r="D21" s="155">
        <v>14575991</v>
      </c>
      <c r="E21" s="155">
        <v>98481428</v>
      </c>
      <c r="F21" s="155">
        <v>36613328</v>
      </c>
      <c r="G21" s="155">
        <v>19192005</v>
      </c>
      <c r="H21" s="155">
        <v>33396096</v>
      </c>
      <c r="I21" s="155">
        <v>22647656</v>
      </c>
      <c r="J21" s="141">
        <v>22854491</v>
      </c>
      <c r="L21" s="13">
        <f t="shared" si="0"/>
        <v>0.21212011656314247</v>
      </c>
      <c r="M21" s="60">
        <f t="shared" si="1"/>
        <v>4.635164663451842E-2</v>
      </c>
      <c r="N21" s="13">
        <f t="shared" si="2"/>
        <v>0.31317090897756233</v>
      </c>
      <c r="O21" s="60">
        <f t="shared" si="3"/>
        <v>0.1164303711198586</v>
      </c>
      <c r="P21" s="13">
        <f t="shared" si="4"/>
        <v>6.1030569651690278E-2</v>
      </c>
      <c r="Q21" s="60">
        <f t="shared" si="5"/>
        <v>0.10619957440728757</v>
      </c>
      <c r="R21" s="13">
        <f t="shared" si="6"/>
        <v>7.201953870663963E-2</v>
      </c>
      <c r="S21" s="13">
        <f t="shared" si="7"/>
        <v>7.2677273939300693E-2</v>
      </c>
    </row>
    <row r="22" spans="1:19" x14ac:dyDescent="0.35">
      <c r="A22" s="7">
        <v>40787</v>
      </c>
      <c r="B22" s="141">
        <f t="shared" si="8"/>
        <v>339587814</v>
      </c>
      <c r="C22" s="154">
        <v>70071826</v>
      </c>
      <c r="D22" s="155">
        <v>16706235</v>
      </c>
      <c r="E22" s="155">
        <v>102221211</v>
      </c>
      <c r="F22" s="155">
        <v>33823427</v>
      </c>
      <c r="G22" s="155">
        <v>21916250</v>
      </c>
      <c r="H22" s="155">
        <v>40417162</v>
      </c>
      <c r="I22" s="155">
        <v>27849790</v>
      </c>
      <c r="J22" s="141">
        <v>26581913</v>
      </c>
      <c r="L22" s="13">
        <f t="shared" si="0"/>
        <v>0.20634375884877895</v>
      </c>
      <c r="M22" s="60">
        <f t="shared" si="1"/>
        <v>4.9195625729962146E-2</v>
      </c>
      <c r="N22" s="13">
        <f t="shared" si="2"/>
        <v>0.30101554527513169</v>
      </c>
      <c r="O22" s="60">
        <f t="shared" si="3"/>
        <v>9.9601415614990238E-2</v>
      </c>
      <c r="P22" s="13">
        <f t="shared" si="4"/>
        <v>6.4537798756229808E-2</v>
      </c>
      <c r="Q22" s="60">
        <f t="shared" si="5"/>
        <v>0.11901829315936525</v>
      </c>
      <c r="R22" s="13">
        <f t="shared" si="6"/>
        <v>8.2010569436982206E-2</v>
      </c>
      <c r="S22" s="13">
        <f t="shared" si="7"/>
        <v>7.8276993178559698E-2</v>
      </c>
    </row>
    <row r="23" spans="1:19" x14ac:dyDescent="0.35">
      <c r="A23" s="7">
        <v>40817</v>
      </c>
      <c r="B23" s="141">
        <f t="shared" si="8"/>
        <v>321387718</v>
      </c>
      <c r="C23" s="154">
        <v>68312227</v>
      </c>
      <c r="D23" s="155">
        <v>15923716</v>
      </c>
      <c r="E23" s="155">
        <v>98067145</v>
      </c>
      <c r="F23" s="155">
        <v>34266498</v>
      </c>
      <c r="G23" s="155">
        <v>18881479</v>
      </c>
      <c r="H23" s="155">
        <v>34574824</v>
      </c>
      <c r="I23" s="155">
        <v>30633931</v>
      </c>
      <c r="J23" s="141">
        <v>20727898</v>
      </c>
      <c r="L23" s="13">
        <f t="shared" si="0"/>
        <v>0.21255394395625288</v>
      </c>
      <c r="M23" s="60">
        <f t="shared" si="1"/>
        <v>4.9546747147319423E-2</v>
      </c>
      <c r="N23" s="13">
        <f t="shared" si="2"/>
        <v>0.30513656716651505</v>
      </c>
      <c r="O23" s="60">
        <f t="shared" si="3"/>
        <v>0.10662043407645093</v>
      </c>
      <c r="P23" s="13">
        <f t="shared" si="4"/>
        <v>5.8749846190450872E-2</v>
      </c>
      <c r="Q23" s="60">
        <f t="shared" si="5"/>
        <v>0.10757979245491889</v>
      </c>
      <c r="R23" s="13">
        <f t="shared" si="6"/>
        <v>9.531767794561459E-2</v>
      </c>
      <c r="S23" s="13">
        <f t="shared" si="7"/>
        <v>6.4494991062477372E-2</v>
      </c>
    </row>
    <row r="24" spans="1:19" x14ac:dyDescent="0.35">
      <c r="A24" s="7">
        <v>40848</v>
      </c>
      <c r="B24" s="141">
        <f t="shared" si="8"/>
        <v>335087729</v>
      </c>
      <c r="C24" s="154">
        <v>68374361</v>
      </c>
      <c r="D24" s="155">
        <v>19613152</v>
      </c>
      <c r="E24" s="155">
        <v>114117253</v>
      </c>
      <c r="F24" s="155">
        <v>33809852</v>
      </c>
      <c r="G24" s="155">
        <v>19324004</v>
      </c>
      <c r="H24" s="155">
        <v>32917082</v>
      </c>
      <c r="I24" s="155">
        <v>27928620</v>
      </c>
      <c r="J24" s="141">
        <v>19003405</v>
      </c>
      <c r="L24" s="13">
        <f t="shared" si="0"/>
        <v>0.20404913424925805</v>
      </c>
      <c r="M24" s="60">
        <f t="shared" si="1"/>
        <v>5.8531394326289996E-2</v>
      </c>
      <c r="N24" s="13">
        <f t="shared" si="2"/>
        <v>0.34055933155343926</v>
      </c>
      <c r="O24" s="60">
        <f t="shared" si="3"/>
        <v>0.10089850828288612</v>
      </c>
      <c r="P24" s="13">
        <f t="shared" si="4"/>
        <v>5.7668491942896541E-2</v>
      </c>
      <c r="Q24" s="60">
        <f t="shared" si="5"/>
        <v>9.8234220925469934E-2</v>
      </c>
      <c r="R24" s="13">
        <f t="shared" si="6"/>
        <v>8.3347188162775129E-2</v>
      </c>
      <c r="S24" s="13">
        <f t="shared" si="7"/>
        <v>5.6711730556984974E-2</v>
      </c>
    </row>
    <row r="25" spans="1:19" x14ac:dyDescent="0.35">
      <c r="A25" s="7">
        <v>40878</v>
      </c>
      <c r="B25" s="141">
        <f t="shared" si="8"/>
        <v>426477701</v>
      </c>
      <c r="C25" s="154">
        <v>80599031</v>
      </c>
      <c r="D25" s="155">
        <v>31904410</v>
      </c>
      <c r="E25" s="155">
        <v>160302163</v>
      </c>
      <c r="F25" s="155">
        <v>33959839</v>
      </c>
      <c r="G25" s="155">
        <v>26271524</v>
      </c>
      <c r="H25" s="155">
        <v>35979448</v>
      </c>
      <c r="I25" s="155">
        <v>26952950</v>
      </c>
      <c r="J25" s="141">
        <v>30508336</v>
      </c>
      <c r="L25" s="13">
        <f t="shared" si="0"/>
        <v>0.18898767933472799</v>
      </c>
      <c r="M25" s="60">
        <f t="shared" si="1"/>
        <v>7.4809093008124244E-2</v>
      </c>
      <c r="N25" s="13">
        <f t="shared" si="2"/>
        <v>0.37587466501560418</v>
      </c>
      <c r="O25" s="60">
        <f t="shared" si="3"/>
        <v>7.9628639247424568E-2</v>
      </c>
      <c r="P25" s="13">
        <f t="shared" si="4"/>
        <v>6.1601166809891431E-2</v>
      </c>
      <c r="Q25" s="60">
        <f t="shared" si="5"/>
        <v>8.4364195163394953E-2</v>
      </c>
      <c r="R25" s="13">
        <f t="shared" si="6"/>
        <v>6.319896664421383E-2</v>
      </c>
      <c r="S25" s="13">
        <f t="shared" si="7"/>
        <v>7.1535594776618819E-2</v>
      </c>
    </row>
    <row r="26" spans="1:19" x14ac:dyDescent="0.35">
      <c r="A26" s="7">
        <v>40909</v>
      </c>
      <c r="B26" s="141">
        <f t="shared" si="8"/>
        <v>306189893</v>
      </c>
      <c r="C26" s="154">
        <v>71090809</v>
      </c>
      <c r="D26" s="155">
        <v>13131092</v>
      </c>
      <c r="E26" s="155">
        <v>91023159</v>
      </c>
      <c r="F26" s="155">
        <v>36158880</v>
      </c>
      <c r="G26" s="155">
        <v>19513973</v>
      </c>
      <c r="H26" s="155">
        <v>33783221</v>
      </c>
      <c r="I26" s="155">
        <v>22704065</v>
      </c>
      <c r="J26" s="141">
        <v>18784694</v>
      </c>
      <c r="L26" s="13">
        <f t="shared" si="0"/>
        <v>0.23217882309394189</v>
      </c>
      <c r="M26" s="60">
        <f t="shared" si="1"/>
        <v>4.2885452133457583E-2</v>
      </c>
      <c r="N26" s="13">
        <f t="shared" si="2"/>
        <v>0.29727682422228091</v>
      </c>
      <c r="O26" s="60">
        <f t="shared" si="3"/>
        <v>0.1180929900909564</v>
      </c>
      <c r="P26" s="13">
        <f t="shared" si="4"/>
        <v>6.3731603969044134E-2</v>
      </c>
      <c r="Q26" s="60">
        <f t="shared" si="5"/>
        <v>0.110334213415725</v>
      </c>
      <c r="R26" s="13">
        <f t="shared" si="6"/>
        <v>7.4150275757142642E-2</v>
      </c>
      <c r="S26" s="13">
        <f t="shared" si="7"/>
        <v>6.1349817317451427E-2</v>
      </c>
    </row>
    <row r="27" spans="1:19" x14ac:dyDescent="0.35">
      <c r="A27" s="7">
        <v>40940</v>
      </c>
      <c r="B27" s="141">
        <f t="shared" si="8"/>
        <v>317545044</v>
      </c>
      <c r="C27" s="154">
        <v>71756839</v>
      </c>
      <c r="D27" s="155">
        <v>17317625</v>
      </c>
      <c r="E27" s="155">
        <v>100387781</v>
      </c>
      <c r="F27" s="155">
        <v>32186371</v>
      </c>
      <c r="G27" s="155">
        <v>20302780</v>
      </c>
      <c r="H27" s="155">
        <v>31967835</v>
      </c>
      <c r="I27" s="155">
        <v>25003416</v>
      </c>
      <c r="J27" s="141">
        <v>18622397</v>
      </c>
      <c r="L27" s="13">
        <f t="shared" si="0"/>
        <v>0.22597373303675306</v>
      </c>
      <c r="M27" s="60">
        <f t="shared" si="1"/>
        <v>5.4535963722992319E-2</v>
      </c>
      <c r="N27" s="13">
        <f t="shared" si="2"/>
        <v>0.31613713675216421</v>
      </c>
      <c r="O27" s="60">
        <f t="shared" si="3"/>
        <v>0.10136001681701573</v>
      </c>
      <c r="P27" s="13">
        <f t="shared" si="4"/>
        <v>6.3936693025509791E-2</v>
      </c>
      <c r="Q27" s="60">
        <f t="shared" si="5"/>
        <v>0.10067181209101157</v>
      </c>
      <c r="R27" s="13">
        <f t="shared" si="6"/>
        <v>7.873974565951658E-2</v>
      </c>
      <c r="S27" s="13">
        <f t="shared" si="7"/>
        <v>5.8644898895036761E-2</v>
      </c>
    </row>
    <row r="28" spans="1:19" x14ac:dyDescent="0.35">
      <c r="A28" s="7">
        <v>40969</v>
      </c>
      <c r="B28" s="141">
        <f t="shared" si="8"/>
        <v>377505952</v>
      </c>
      <c r="C28" s="154">
        <v>77871685</v>
      </c>
      <c r="D28" s="155">
        <v>22295190</v>
      </c>
      <c r="E28" s="155">
        <v>115513155</v>
      </c>
      <c r="F28" s="155">
        <v>40507671</v>
      </c>
      <c r="G28" s="155">
        <v>21346355</v>
      </c>
      <c r="H28" s="155">
        <v>45590438</v>
      </c>
      <c r="I28" s="155">
        <v>27723131</v>
      </c>
      <c r="J28" s="141">
        <v>26658327</v>
      </c>
      <c r="L28" s="13">
        <f t="shared" si="0"/>
        <v>0.20627935688812662</v>
      </c>
      <c r="M28" s="60">
        <f t="shared" si="1"/>
        <v>5.9059174780905173E-2</v>
      </c>
      <c r="N28" s="13">
        <f t="shared" si="2"/>
        <v>0.30599028806835871</v>
      </c>
      <c r="O28" s="60">
        <f t="shared" si="3"/>
        <v>0.10730339690114343</v>
      </c>
      <c r="P28" s="13">
        <f t="shared" si="4"/>
        <v>5.6545744211206506E-2</v>
      </c>
      <c r="Q28" s="60">
        <f t="shared" si="5"/>
        <v>0.12076746805835792</v>
      </c>
      <c r="R28" s="13">
        <f t="shared" si="6"/>
        <v>7.3437599733526857E-2</v>
      </c>
      <c r="S28" s="13">
        <f t="shared" si="7"/>
        <v>7.0616971358374775E-2</v>
      </c>
    </row>
    <row r="29" spans="1:19" x14ac:dyDescent="0.35">
      <c r="A29" s="7">
        <v>41000</v>
      </c>
      <c r="B29" s="141">
        <f t="shared" si="8"/>
        <v>334515931</v>
      </c>
      <c r="C29" s="154">
        <v>71463414</v>
      </c>
      <c r="D29" s="155">
        <v>19836462</v>
      </c>
      <c r="E29" s="155">
        <v>102946628</v>
      </c>
      <c r="F29" s="155">
        <v>37672929</v>
      </c>
      <c r="G29" s="155">
        <v>17683742</v>
      </c>
      <c r="H29" s="155">
        <v>38236315</v>
      </c>
      <c r="I29" s="155">
        <v>24716450</v>
      </c>
      <c r="J29" s="141">
        <v>21959991</v>
      </c>
      <c r="L29" s="13">
        <f t="shared" si="0"/>
        <v>0.21363231875494743</v>
      </c>
      <c r="M29" s="60">
        <f t="shared" si="1"/>
        <v>5.9299005403721711E-2</v>
      </c>
      <c r="N29" s="13">
        <f t="shared" si="2"/>
        <v>0.30774805759549911</v>
      </c>
      <c r="O29" s="60">
        <f t="shared" si="3"/>
        <v>0.11261923725838935</v>
      </c>
      <c r="P29" s="13">
        <f t="shared" si="4"/>
        <v>5.2863676618139899E-2</v>
      </c>
      <c r="Q29" s="60">
        <f t="shared" si="5"/>
        <v>0.11430342012620021</v>
      </c>
      <c r="R29" s="13">
        <f t="shared" si="6"/>
        <v>7.3887213461292525E-2</v>
      </c>
      <c r="S29" s="13">
        <f t="shared" si="7"/>
        <v>6.5647070781809785E-2</v>
      </c>
    </row>
    <row r="30" spans="1:19" x14ac:dyDescent="0.35">
      <c r="A30" s="7">
        <v>41030</v>
      </c>
      <c r="B30" s="141">
        <f t="shared" si="8"/>
        <v>340002188</v>
      </c>
      <c r="C30" s="154">
        <v>74952603</v>
      </c>
      <c r="D30" s="155">
        <v>18141844</v>
      </c>
      <c r="E30" s="155">
        <v>109283202</v>
      </c>
      <c r="F30" s="155">
        <v>38279746</v>
      </c>
      <c r="G30" s="155">
        <v>18247221</v>
      </c>
      <c r="H30" s="155">
        <v>35588611</v>
      </c>
      <c r="I30" s="155">
        <v>24477509</v>
      </c>
      <c r="J30" s="141">
        <v>21031452</v>
      </c>
      <c r="L30" s="13">
        <f t="shared" si="0"/>
        <v>0.22044741370899648</v>
      </c>
      <c r="M30" s="60">
        <f t="shared" si="1"/>
        <v>5.3358021331321552E-2</v>
      </c>
      <c r="N30" s="13">
        <f t="shared" si="2"/>
        <v>0.32141911392640804</v>
      </c>
      <c r="O30" s="60">
        <f t="shared" si="3"/>
        <v>0.11258676370635591</v>
      </c>
      <c r="P30" s="13">
        <f t="shared" si="4"/>
        <v>5.3667951689769712E-2</v>
      </c>
      <c r="Q30" s="60">
        <f t="shared" si="5"/>
        <v>0.10467171170086706</v>
      </c>
      <c r="R30" s="13">
        <f t="shared" si="6"/>
        <v>7.1992210238364704E-2</v>
      </c>
      <c r="S30" s="13">
        <f t="shared" si="7"/>
        <v>6.1856813697916554E-2</v>
      </c>
    </row>
    <row r="31" spans="1:19" x14ac:dyDescent="0.35">
      <c r="A31" s="7">
        <v>41061</v>
      </c>
      <c r="B31" s="141">
        <f t="shared" si="8"/>
        <v>363388049</v>
      </c>
      <c r="C31" s="154">
        <v>73503417</v>
      </c>
      <c r="D31" s="155">
        <v>20015636</v>
      </c>
      <c r="E31" s="155">
        <v>112957496</v>
      </c>
      <c r="F31" s="155">
        <v>38479927</v>
      </c>
      <c r="G31" s="155">
        <v>22626045</v>
      </c>
      <c r="H31" s="155">
        <v>40856834</v>
      </c>
      <c r="I31" s="155">
        <v>25910672</v>
      </c>
      <c r="J31" s="141">
        <v>29038022</v>
      </c>
      <c r="L31" s="13">
        <f t="shared" si="0"/>
        <v>0.20227252162604831</v>
      </c>
      <c r="M31" s="60">
        <f t="shared" si="1"/>
        <v>5.508061163563472E-2</v>
      </c>
      <c r="N31" s="13">
        <f t="shared" si="2"/>
        <v>0.31084537950778895</v>
      </c>
      <c r="O31" s="60">
        <f t="shared" si="3"/>
        <v>0.10589210929168449</v>
      </c>
      <c r="P31" s="13">
        <f t="shared" si="4"/>
        <v>6.2264141768734946E-2</v>
      </c>
      <c r="Q31" s="60">
        <f t="shared" si="5"/>
        <v>0.11243307013654706</v>
      </c>
      <c r="R31" s="13">
        <f t="shared" si="6"/>
        <v>7.1303038367120319E-2</v>
      </c>
      <c r="S31" s="13">
        <f t="shared" si="7"/>
        <v>7.9909127666441232E-2</v>
      </c>
    </row>
    <row r="32" spans="1:19" x14ac:dyDescent="0.35">
      <c r="A32" s="7">
        <v>41091</v>
      </c>
      <c r="B32" s="141">
        <f t="shared" si="8"/>
        <v>327658907</v>
      </c>
      <c r="C32" s="154">
        <v>72962293</v>
      </c>
      <c r="D32" s="155">
        <v>16948235</v>
      </c>
      <c r="E32" s="155">
        <v>102415164</v>
      </c>
      <c r="F32" s="155">
        <v>35276748</v>
      </c>
      <c r="G32" s="155">
        <v>18413600</v>
      </c>
      <c r="H32" s="155">
        <v>39694197</v>
      </c>
      <c r="I32" s="155">
        <v>23001767</v>
      </c>
      <c r="J32" s="141">
        <v>18946903</v>
      </c>
      <c r="L32" s="13">
        <f t="shared" si="0"/>
        <v>0.22267758159859821</v>
      </c>
      <c r="M32" s="60">
        <f t="shared" si="1"/>
        <v>5.1725238160548463E-2</v>
      </c>
      <c r="N32" s="13">
        <f t="shared" si="2"/>
        <v>0.31256639698184674</v>
      </c>
      <c r="O32" s="60">
        <f t="shared" si="3"/>
        <v>0.10766302165562677</v>
      </c>
      <c r="P32" s="13">
        <f t="shared" si="4"/>
        <v>5.619746512796614E-2</v>
      </c>
      <c r="Q32" s="60">
        <f t="shared" si="5"/>
        <v>0.12114487398934039</v>
      </c>
      <c r="R32" s="13">
        <f t="shared" si="6"/>
        <v>7.0200340990577745E-2</v>
      </c>
      <c r="S32" s="13">
        <f t="shared" si="7"/>
        <v>5.7825081495495555E-2</v>
      </c>
    </row>
    <row r="33" spans="1:19" x14ac:dyDescent="0.35">
      <c r="A33" s="7">
        <v>41122</v>
      </c>
      <c r="B33" s="141">
        <f t="shared" si="8"/>
        <v>336219553</v>
      </c>
      <c r="C33" s="154">
        <v>70091207</v>
      </c>
      <c r="D33" s="155">
        <v>16244918</v>
      </c>
      <c r="E33" s="155">
        <v>103434269</v>
      </c>
      <c r="F33" s="155">
        <v>38140726</v>
      </c>
      <c r="G33" s="155">
        <v>19877692</v>
      </c>
      <c r="H33" s="155">
        <v>40580070</v>
      </c>
      <c r="I33" s="155">
        <v>25365273</v>
      </c>
      <c r="J33" s="141">
        <v>22485398</v>
      </c>
      <c r="L33" s="13">
        <f t="shared" si="0"/>
        <v>0.20846856280247331</v>
      </c>
      <c r="M33" s="60">
        <f t="shared" si="1"/>
        <v>4.8316398778865788E-2</v>
      </c>
      <c r="N33" s="13">
        <f t="shared" si="2"/>
        <v>0.30763906523901663</v>
      </c>
      <c r="O33" s="60">
        <f t="shared" si="3"/>
        <v>0.11343994024047734</v>
      </c>
      <c r="P33" s="13">
        <f t="shared" si="4"/>
        <v>5.9121165984061613E-2</v>
      </c>
      <c r="Q33" s="60">
        <f t="shared" si="5"/>
        <v>0.1206951518372877</v>
      </c>
      <c r="R33" s="13">
        <f t="shared" si="6"/>
        <v>7.5442587361955124E-2</v>
      </c>
      <c r="S33" s="13">
        <f t="shared" si="7"/>
        <v>6.6877127755862548E-2</v>
      </c>
    </row>
    <row r="34" spans="1:19" x14ac:dyDescent="0.35">
      <c r="A34" s="7">
        <v>41153</v>
      </c>
      <c r="B34" s="141">
        <f t="shared" si="8"/>
        <v>351832427</v>
      </c>
      <c r="C34" s="154">
        <v>73794020</v>
      </c>
      <c r="D34" s="155">
        <v>17988803</v>
      </c>
      <c r="E34" s="155">
        <v>108333773</v>
      </c>
      <c r="F34" s="155">
        <v>38130513</v>
      </c>
      <c r="G34" s="155">
        <v>20948044</v>
      </c>
      <c r="H34" s="155">
        <v>39258670</v>
      </c>
      <c r="I34" s="155">
        <v>26374382</v>
      </c>
      <c r="J34" s="141">
        <v>27004222</v>
      </c>
      <c r="L34" s="13">
        <f t="shared" ref="L34:L65" si="9">C34/$B34</f>
        <v>0.20974195195487197</v>
      </c>
      <c r="M34" s="60">
        <f t="shared" ref="M34:M65" si="10">D34/$B34</f>
        <v>5.1128894381301582E-2</v>
      </c>
      <c r="N34" s="13">
        <f t="shared" ref="N34:N65" si="11">E34/$B34</f>
        <v>0.30791298551909768</v>
      </c>
      <c r="O34" s="60">
        <f t="shared" ref="O34:O65" si="12">F34/$B34</f>
        <v>0.10837691489988784</v>
      </c>
      <c r="P34" s="13">
        <f t="shared" ref="P34:P65" si="13">G34/$B34</f>
        <v>5.9539833149034896E-2</v>
      </c>
      <c r="Q34" s="60">
        <f t="shared" ref="Q34:Q65" si="14">H34/$B34</f>
        <v>0.11158343287101277</v>
      </c>
      <c r="R34" s="13">
        <f t="shared" ref="R34:R65" si="15">I34/$B34</f>
        <v>7.4962908407530046E-2</v>
      </c>
      <c r="S34" s="13">
        <f t="shared" ref="S34:S65" si="16">J34/$B34</f>
        <v>7.675307881726319E-2</v>
      </c>
    </row>
    <row r="35" spans="1:19" x14ac:dyDescent="0.35">
      <c r="A35" s="7">
        <v>41183</v>
      </c>
      <c r="B35" s="141">
        <f t="shared" si="8"/>
        <v>342844337</v>
      </c>
      <c r="C35" s="154">
        <v>75335000</v>
      </c>
      <c r="D35" s="155">
        <v>16896763</v>
      </c>
      <c r="E35" s="155">
        <v>106392817</v>
      </c>
      <c r="F35" s="155">
        <v>38901503</v>
      </c>
      <c r="G35" s="155">
        <v>19745014</v>
      </c>
      <c r="H35" s="155">
        <v>38818970</v>
      </c>
      <c r="I35" s="155">
        <v>24902736</v>
      </c>
      <c r="J35" s="141">
        <v>21851534</v>
      </c>
      <c r="L35" s="13">
        <f t="shared" si="9"/>
        <v>0.21973529053799129</v>
      </c>
      <c r="M35" s="60">
        <f t="shared" si="10"/>
        <v>4.9284066197074157E-2</v>
      </c>
      <c r="N35" s="13">
        <f t="shared" si="11"/>
        <v>0.31032397364638403</v>
      </c>
      <c r="O35" s="60">
        <f t="shared" si="12"/>
        <v>0.11346695512138502</v>
      </c>
      <c r="P35" s="13">
        <f t="shared" si="13"/>
        <v>5.7591775243468583E-2</v>
      </c>
      <c r="Q35" s="60">
        <f t="shared" si="14"/>
        <v>0.11322622488001019</v>
      </c>
      <c r="R35" s="13">
        <f t="shared" si="15"/>
        <v>7.2635692973397434E-2</v>
      </c>
      <c r="S35" s="13">
        <f t="shared" si="16"/>
        <v>6.3736021400289306E-2</v>
      </c>
    </row>
    <row r="36" spans="1:19" x14ac:dyDescent="0.35">
      <c r="A36" s="7">
        <v>41214</v>
      </c>
      <c r="B36" s="141">
        <f t="shared" si="8"/>
        <v>344402934</v>
      </c>
      <c r="C36" s="154">
        <v>71181060</v>
      </c>
      <c r="D36" s="155">
        <v>20638479</v>
      </c>
      <c r="E36" s="155">
        <v>118118962</v>
      </c>
      <c r="F36" s="155">
        <v>37130024</v>
      </c>
      <c r="G36" s="155">
        <v>18419230</v>
      </c>
      <c r="H36" s="155">
        <v>35368625</v>
      </c>
      <c r="I36" s="155">
        <v>22405233</v>
      </c>
      <c r="J36" s="141">
        <v>21141321</v>
      </c>
      <c r="L36" s="13">
        <f t="shared" si="9"/>
        <v>0.20667959814767431</v>
      </c>
      <c r="M36" s="60">
        <f t="shared" si="10"/>
        <v>5.9925386698360707E-2</v>
      </c>
      <c r="N36" s="13">
        <f t="shared" si="11"/>
        <v>0.34296735114341387</v>
      </c>
      <c r="O36" s="60">
        <f t="shared" si="12"/>
        <v>0.1078098364864685</v>
      </c>
      <c r="P36" s="13">
        <f t="shared" si="13"/>
        <v>5.3481629166376381E-2</v>
      </c>
      <c r="Q36" s="60">
        <f t="shared" si="14"/>
        <v>0.10269548110179573</v>
      </c>
      <c r="R36" s="13">
        <f t="shared" si="15"/>
        <v>6.5055290731059798E-2</v>
      </c>
      <c r="S36" s="13">
        <f t="shared" si="16"/>
        <v>6.1385426524850684E-2</v>
      </c>
    </row>
    <row r="37" spans="1:19" x14ac:dyDescent="0.35">
      <c r="A37" s="7">
        <v>41244</v>
      </c>
      <c r="B37" s="141">
        <f t="shared" si="8"/>
        <v>432963123</v>
      </c>
      <c r="C37" s="154">
        <v>82961096</v>
      </c>
      <c r="D37" s="155">
        <v>30899169</v>
      </c>
      <c r="E37" s="155">
        <v>161710315</v>
      </c>
      <c r="F37" s="155">
        <v>36239139</v>
      </c>
      <c r="G37" s="155">
        <v>23838570</v>
      </c>
      <c r="H37" s="155">
        <v>37780921</v>
      </c>
      <c r="I37" s="155">
        <v>28316995</v>
      </c>
      <c r="J37" s="141">
        <v>31216918</v>
      </c>
      <c r="L37" s="13">
        <f t="shared" si="9"/>
        <v>0.19161238357937474</v>
      </c>
      <c r="M37" s="60">
        <f t="shared" si="10"/>
        <v>7.1366745476842838E-2</v>
      </c>
      <c r="N37" s="13">
        <f t="shared" si="11"/>
        <v>0.37349674004453259</v>
      </c>
      <c r="O37" s="60">
        <f t="shared" si="12"/>
        <v>8.3700290105307648E-2</v>
      </c>
      <c r="P37" s="13">
        <f t="shared" si="13"/>
        <v>5.5059123360951923E-2</v>
      </c>
      <c r="Q37" s="60">
        <f t="shared" si="14"/>
        <v>8.7261290842084033E-2</v>
      </c>
      <c r="R37" s="13">
        <f t="shared" si="15"/>
        <v>6.5402787202271731E-2</v>
      </c>
      <c r="S37" s="13">
        <f t="shared" si="16"/>
        <v>7.2100639388634494E-2</v>
      </c>
    </row>
    <row r="38" spans="1:19" x14ac:dyDescent="0.35">
      <c r="A38" s="7">
        <v>41275</v>
      </c>
      <c r="B38" s="141">
        <f t="shared" si="8"/>
        <v>325818719</v>
      </c>
      <c r="C38" s="154">
        <v>74679420</v>
      </c>
      <c r="D38" s="155">
        <v>15871472</v>
      </c>
      <c r="E38" s="155">
        <v>100058229</v>
      </c>
      <c r="F38" s="155">
        <v>39886002</v>
      </c>
      <c r="G38" s="155">
        <v>19363816</v>
      </c>
      <c r="H38" s="155">
        <v>25776471</v>
      </c>
      <c r="I38" s="155">
        <v>26817933</v>
      </c>
      <c r="J38" s="141">
        <v>23365376</v>
      </c>
      <c r="L38" s="13">
        <f t="shared" si="9"/>
        <v>0.22920543125700521</v>
      </c>
      <c r="M38" s="60">
        <f t="shared" si="10"/>
        <v>4.8712584865328132E-2</v>
      </c>
      <c r="N38" s="13">
        <f t="shared" si="11"/>
        <v>0.30709785277867968</v>
      </c>
      <c r="O38" s="60">
        <f t="shared" si="12"/>
        <v>0.12241777305618834</v>
      </c>
      <c r="P38" s="13">
        <f t="shared" si="13"/>
        <v>5.9431256925419312E-2</v>
      </c>
      <c r="Q38" s="60">
        <f t="shared" si="14"/>
        <v>7.9112922299593227E-2</v>
      </c>
      <c r="R38" s="13">
        <f t="shared" si="15"/>
        <v>8.2309368480452463E-2</v>
      </c>
      <c r="S38" s="13">
        <f t="shared" si="16"/>
        <v>7.1712810337333621E-2</v>
      </c>
    </row>
    <row r="39" spans="1:19" x14ac:dyDescent="0.35">
      <c r="A39" s="7">
        <v>41306</v>
      </c>
      <c r="B39" s="141">
        <f t="shared" si="8"/>
        <v>328224033</v>
      </c>
      <c r="C39" s="154">
        <v>73240782</v>
      </c>
      <c r="D39" s="155">
        <v>17452002</v>
      </c>
      <c r="E39" s="155">
        <v>104785910</v>
      </c>
      <c r="F39" s="155">
        <v>34609937</v>
      </c>
      <c r="G39" s="155">
        <v>20273656</v>
      </c>
      <c r="H39" s="155">
        <v>33327565</v>
      </c>
      <c r="I39" s="155">
        <v>21460581</v>
      </c>
      <c r="J39" s="141">
        <v>23073600</v>
      </c>
      <c r="L39" s="13">
        <f t="shared" si="9"/>
        <v>0.22314265451731866</v>
      </c>
      <c r="M39" s="60">
        <f t="shared" si="10"/>
        <v>5.3171005914731416E-2</v>
      </c>
      <c r="N39" s="13">
        <f t="shared" si="11"/>
        <v>0.31925118048866336</v>
      </c>
      <c r="O39" s="60">
        <f t="shared" si="12"/>
        <v>0.10544607804511377</v>
      </c>
      <c r="P39" s="13">
        <f t="shared" si="13"/>
        <v>6.1767737769525245E-2</v>
      </c>
      <c r="Q39" s="60">
        <f t="shared" si="14"/>
        <v>0.1015390759030738</v>
      </c>
      <c r="R39" s="13">
        <f t="shared" si="15"/>
        <v>6.5383941583582947E-2</v>
      </c>
      <c r="S39" s="13">
        <f t="shared" si="16"/>
        <v>7.0298325777990792E-2</v>
      </c>
    </row>
    <row r="40" spans="1:19" x14ac:dyDescent="0.35">
      <c r="A40" s="7">
        <v>41334</v>
      </c>
      <c r="B40" s="141">
        <f t="shared" si="8"/>
        <v>393687769</v>
      </c>
      <c r="C40" s="154">
        <v>79276386</v>
      </c>
      <c r="D40" s="155">
        <v>24280667</v>
      </c>
      <c r="E40" s="155">
        <v>119659136</v>
      </c>
      <c r="F40" s="155">
        <v>39418380</v>
      </c>
      <c r="G40" s="155">
        <v>26457839</v>
      </c>
      <c r="H40" s="155">
        <v>43856671</v>
      </c>
      <c r="I40" s="155">
        <v>30836306</v>
      </c>
      <c r="J40" s="141">
        <v>29902384</v>
      </c>
      <c r="L40" s="13">
        <f t="shared" si="9"/>
        <v>0.20136867904575415</v>
      </c>
      <c r="M40" s="60">
        <f t="shared" si="10"/>
        <v>6.167493356899284E-2</v>
      </c>
      <c r="N40" s="13">
        <f t="shared" si="11"/>
        <v>0.30394425588568386</v>
      </c>
      <c r="O40" s="60">
        <f t="shared" si="12"/>
        <v>0.1001259960402783</v>
      </c>
      <c r="P40" s="13">
        <f t="shared" si="13"/>
        <v>6.7205133314669985E-2</v>
      </c>
      <c r="Q40" s="60">
        <f t="shared" si="14"/>
        <v>0.11139962796253393</v>
      </c>
      <c r="R40" s="13">
        <f t="shared" si="15"/>
        <v>7.8326807252170436E-2</v>
      </c>
      <c r="S40" s="13">
        <f t="shared" si="16"/>
        <v>7.5954566929916478E-2</v>
      </c>
    </row>
    <row r="41" spans="1:19" x14ac:dyDescent="0.35">
      <c r="A41" s="7">
        <v>41365</v>
      </c>
      <c r="B41" s="141">
        <f t="shared" si="8"/>
        <v>354254724</v>
      </c>
      <c r="C41" s="154">
        <v>77288148</v>
      </c>
      <c r="D41" s="155">
        <v>18445904</v>
      </c>
      <c r="E41" s="155">
        <v>99380565</v>
      </c>
      <c r="F41" s="155">
        <v>42803858</v>
      </c>
      <c r="G41" s="155">
        <v>20441480</v>
      </c>
      <c r="H41" s="155">
        <v>41974972</v>
      </c>
      <c r="I41" s="155">
        <v>25460030</v>
      </c>
      <c r="J41" s="141">
        <v>28459767</v>
      </c>
      <c r="L41" s="13">
        <f t="shared" si="9"/>
        <v>0.2181711146355807</v>
      </c>
      <c r="M41" s="60">
        <f t="shared" si="10"/>
        <v>5.206960627573734E-2</v>
      </c>
      <c r="N41" s="13">
        <f t="shared" si="11"/>
        <v>0.28053419832448023</v>
      </c>
      <c r="O41" s="60">
        <f t="shared" si="12"/>
        <v>0.12082791025815651</v>
      </c>
      <c r="P41" s="13">
        <f t="shared" si="13"/>
        <v>5.7702773216935281E-2</v>
      </c>
      <c r="Q41" s="60">
        <f t="shared" si="14"/>
        <v>0.1184881080089704</v>
      </c>
      <c r="R41" s="13">
        <f t="shared" si="15"/>
        <v>7.186927449413491E-2</v>
      </c>
      <c r="S41" s="13">
        <f t="shared" si="16"/>
        <v>8.0337014786004662E-2</v>
      </c>
    </row>
    <row r="42" spans="1:19" x14ac:dyDescent="0.35">
      <c r="A42" s="7">
        <v>41395</v>
      </c>
      <c r="B42" s="141">
        <f t="shared" si="8"/>
        <v>360855419</v>
      </c>
      <c r="C42" s="154">
        <v>76645975</v>
      </c>
      <c r="D42" s="155">
        <v>18217693</v>
      </c>
      <c r="E42" s="155">
        <v>112324581</v>
      </c>
      <c r="F42" s="155">
        <v>44922225</v>
      </c>
      <c r="G42" s="155">
        <v>19072069</v>
      </c>
      <c r="H42" s="155">
        <v>38501083</v>
      </c>
      <c r="I42" s="155">
        <v>25879454</v>
      </c>
      <c r="J42" s="141">
        <v>25292339</v>
      </c>
      <c r="L42" s="13">
        <f t="shared" si="9"/>
        <v>0.21240078703099649</v>
      </c>
      <c r="M42" s="60">
        <f t="shared" si="10"/>
        <v>5.0484742755103257E-2</v>
      </c>
      <c r="N42" s="13">
        <f t="shared" si="11"/>
        <v>0.3112730891260358</v>
      </c>
      <c r="O42" s="60">
        <f t="shared" si="12"/>
        <v>0.12448815407702107</v>
      </c>
      <c r="P42" s="13">
        <f t="shared" si="13"/>
        <v>5.2852383519284216E-2</v>
      </c>
      <c r="Q42" s="60">
        <f t="shared" si="14"/>
        <v>0.10669393051292933</v>
      </c>
      <c r="R42" s="13">
        <f t="shared" si="15"/>
        <v>7.1716960969346003E-2</v>
      </c>
      <c r="S42" s="13">
        <f t="shared" si="16"/>
        <v>7.0089952009283807E-2</v>
      </c>
    </row>
    <row r="43" spans="1:19" x14ac:dyDescent="0.35">
      <c r="A43" s="7">
        <v>41426</v>
      </c>
      <c r="B43" s="141">
        <f t="shared" si="8"/>
        <v>382624054</v>
      </c>
      <c r="C43" s="154">
        <v>79062774</v>
      </c>
      <c r="D43" s="155">
        <v>19126128</v>
      </c>
      <c r="E43" s="155">
        <v>113043662</v>
      </c>
      <c r="F43" s="155">
        <v>40336879</v>
      </c>
      <c r="G43" s="155">
        <v>24493263</v>
      </c>
      <c r="H43" s="155">
        <v>46476963</v>
      </c>
      <c r="I43" s="155">
        <v>28980653</v>
      </c>
      <c r="J43" s="141">
        <v>31103732</v>
      </c>
      <c r="L43" s="13">
        <f t="shared" si="9"/>
        <v>0.20663304665106078</v>
      </c>
      <c r="M43" s="60">
        <f t="shared" si="10"/>
        <v>4.9986737111932855E-2</v>
      </c>
      <c r="N43" s="13">
        <f t="shared" si="11"/>
        <v>0.29544316625739375</v>
      </c>
      <c r="O43" s="60">
        <f t="shared" si="12"/>
        <v>0.10542170200308421</v>
      </c>
      <c r="P43" s="13">
        <f t="shared" si="13"/>
        <v>6.4013913249688165E-2</v>
      </c>
      <c r="Q43" s="60">
        <f t="shared" si="14"/>
        <v>0.12146900466430163</v>
      </c>
      <c r="R43" s="13">
        <f t="shared" si="15"/>
        <v>7.5741848158871888E-2</v>
      </c>
      <c r="S43" s="13">
        <f t="shared" si="16"/>
        <v>8.1290581903666725E-2</v>
      </c>
    </row>
    <row r="44" spans="1:19" x14ac:dyDescent="0.35">
      <c r="A44" s="7">
        <v>41456</v>
      </c>
      <c r="B44" s="141">
        <f t="shared" si="8"/>
        <v>341040152</v>
      </c>
      <c r="C44" s="154">
        <v>74882508</v>
      </c>
      <c r="D44" s="155">
        <v>16146660</v>
      </c>
      <c r="E44" s="155">
        <v>102822045</v>
      </c>
      <c r="F44" s="155">
        <v>42557880</v>
      </c>
      <c r="G44" s="155">
        <v>20599726</v>
      </c>
      <c r="H44" s="155">
        <v>38728789</v>
      </c>
      <c r="I44" s="155">
        <v>23920205</v>
      </c>
      <c r="J44" s="141">
        <v>21382339</v>
      </c>
      <c r="L44" s="13">
        <f t="shared" si="9"/>
        <v>0.21957094365827048</v>
      </c>
      <c r="M44" s="60">
        <f t="shared" si="10"/>
        <v>4.7345334281929358E-2</v>
      </c>
      <c r="N44" s="13">
        <f t="shared" si="11"/>
        <v>0.30149542333068158</v>
      </c>
      <c r="O44" s="60">
        <f t="shared" si="12"/>
        <v>0.12478847358712179</v>
      </c>
      <c r="P44" s="13">
        <f t="shared" si="13"/>
        <v>6.0402641387516151E-2</v>
      </c>
      <c r="Q44" s="60">
        <f t="shared" si="14"/>
        <v>0.11356078975709581</v>
      </c>
      <c r="R44" s="13">
        <f t="shared" si="15"/>
        <v>7.0138970029546555E-2</v>
      </c>
      <c r="S44" s="13">
        <f t="shared" si="16"/>
        <v>6.2697423967838256E-2</v>
      </c>
    </row>
    <row r="45" spans="1:19" x14ac:dyDescent="0.35">
      <c r="A45" s="7">
        <v>41487</v>
      </c>
      <c r="B45" s="141">
        <f t="shared" si="8"/>
        <v>342226434</v>
      </c>
      <c r="C45" s="154">
        <v>72599870</v>
      </c>
      <c r="D45" s="155">
        <v>15854741</v>
      </c>
      <c r="E45" s="155">
        <v>105860201</v>
      </c>
      <c r="F45" s="155">
        <v>42106961</v>
      </c>
      <c r="G45" s="155">
        <v>19278131</v>
      </c>
      <c r="H45" s="155">
        <v>37650802</v>
      </c>
      <c r="I45" s="155">
        <v>26777130</v>
      </c>
      <c r="J45" s="141">
        <v>22098598</v>
      </c>
      <c r="L45" s="13">
        <f t="shared" si="9"/>
        <v>0.21213986643708532</v>
      </c>
      <c r="M45" s="60">
        <f t="shared" si="10"/>
        <v>4.6328218468360632E-2</v>
      </c>
      <c r="N45" s="13">
        <f t="shared" si="11"/>
        <v>0.30932794922557033</v>
      </c>
      <c r="O45" s="60">
        <f t="shared" si="12"/>
        <v>0.12303830685387675</v>
      </c>
      <c r="P45" s="13">
        <f t="shared" si="13"/>
        <v>5.6331507694113422E-2</v>
      </c>
      <c r="Q45" s="60">
        <f t="shared" si="14"/>
        <v>0.11001722327504368</v>
      </c>
      <c r="R45" s="13">
        <f t="shared" si="15"/>
        <v>7.824389743078701E-2</v>
      </c>
      <c r="S45" s="13">
        <f t="shared" si="16"/>
        <v>6.4573030615162827E-2</v>
      </c>
    </row>
    <row r="46" spans="1:19" x14ac:dyDescent="0.35">
      <c r="A46" s="7">
        <v>41518</v>
      </c>
      <c r="B46" s="141">
        <f t="shared" si="8"/>
        <v>370919900</v>
      </c>
      <c r="C46" s="154">
        <v>75807868</v>
      </c>
      <c r="D46" s="155">
        <v>18031577</v>
      </c>
      <c r="E46" s="155">
        <v>107499713</v>
      </c>
      <c r="F46" s="155">
        <v>46708626</v>
      </c>
      <c r="G46" s="155">
        <v>21134594</v>
      </c>
      <c r="H46" s="155">
        <v>43070516</v>
      </c>
      <c r="I46" s="155">
        <v>28392160</v>
      </c>
      <c r="J46" s="141">
        <v>30274846</v>
      </c>
      <c r="L46" s="13">
        <f t="shared" si="9"/>
        <v>0.20437800182734872</v>
      </c>
      <c r="M46" s="60">
        <f t="shared" si="10"/>
        <v>4.861312914189829E-2</v>
      </c>
      <c r="N46" s="13">
        <f t="shared" si="11"/>
        <v>0.28981921164111174</v>
      </c>
      <c r="O46" s="60">
        <f t="shared" si="12"/>
        <v>0.12592644934930694</v>
      </c>
      <c r="P46" s="13">
        <f t="shared" si="13"/>
        <v>5.6978862552265329E-2</v>
      </c>
      <c r="Q46" s="60">
        <f t="shared" si="14"/>
        <v>0.11611810528364749</v>
      </c>
      <c r="R46" s="13">
        <f t="shared" si="15"/>
        <v>7.654525950211892E-2</v>
      </c>
      <c r="S46" s="13">
        <f t="shared" si="16"/>
        <v>8.1620980702302573E-2</v>
      </c>
    </row>
    <row r="47" spans="1:19" x14ac:dyDescent="0.35">
      <c r="A47" s="7">
        <v>41548</v>
      </c>
      <c r="B47" s="141">
        <f t="shared" si="8"/>
        <v>351090432</v>
      </c>
      <c r="C47" s="154">
        <v>77798981</v>
      </c>
      <c r="D47" s="155">
        <v>18236706</v>
      </c>
      <c r="E47" s="155">
        <v>105633396</v>
      </c>
      <c r="F47" s="155">
        <v>40609335</v>
      </c>
      <c r="G47" s="155">
        <v>17886172</v>
      </c>
      <c r="H47" s="155">
        <v>39046103</v>
      </c>
      <c r="I47" s="155">
        <v>26564114</v>
      </c>
      <c r="J47" s="141">
        <v>25315625</v>
      </c>
      <c r="L47" s="13">
        <f t="shared" si="9"/>
        <v>0.22159242721829572</v>
      </c>
      <c r="M47" s="60">
        <f t="shared" si="10"/>
        <v>5.1943044691118212E-2</v>
      </c>
      <c r="N47" s="13">
        <f t="shared" si="11"/>
        <v>0.30087232909839023</v>
      </c>
      <c r="O47" s="60">
        <f t="shared" si="12"/>
        <v>0.11566631072418401</v>
      </c>
      <c r="P47" s="13">
        <f t="shared" si="13"/>
        <v>5.0944629559144465E-2</v>
      </c>
      <c r="Q47" s="60">
        <f t="shared" si="14"/>
        <v>0.11121380545055697</v>
      </c>
      <c r="R47" s="13">
        <f t="shared" si="15"/>
        <v>7.5661742898194384E-2</v>
      </c>
      <c r="S47" s="13">
        <f t="shared" si="16"/>
        <v>7.2105710360115996E-2</v>
      </c>
    </row>
    <row r="48" spans="1:19" x14ac:dyDescent="0.35">
      <c r="A48" s="7">
        <v>41579</v>
      </c>
      <c r="B48" s="141">
        <f t="shared" si="8"/>
        <v>370764535</v>
      </c>
      <c r="C48" s="154">
        <v>77914192</v>
      </c>
      <c r="D48" s="155">
        <v>22615988</v>
      </c>
      <c r="E48" s="155">
        <v>121413366</v>
      </c>
      <c r="F48" s="155">
        <v>32636918</v>
      </c>
      <c r="G48" s="155">
        <v>18056245</v>
      </c>
      <c r="H48" s="155">
        <v>36862446</v>
      </c>
      <c r="I48" s="155">
        <v>34576534</v>
      </c>
      <c r="J48" s="141">
        <v>26688846</v>
      </c>
      <c r="L48" s="13">
        <f t="shared" si="9"/>
        <v>0.21014467308746237</v>
      </c>
      <c r="M48" s="60">
        <f t="shared" si="10"/>
        <v>6.0998250547345367E-2</v>
      </c>
      <c r="N48" s="13">
        <f t="shared" si="11"/>
        <v>0.32746758262626169</v>
      </c>
      <c r="O48" s="60">
        <f t="shared" si="12"/>
        <v>8.8025997416392596E-2</v>
      </c>
      <c r="P48" s="13">
        <f t="shared" si="13"/>
        <v>4.8700032757987489E-2</v>
      </c>
      <c r="Q48" s="60">
        <f t="shared" si="14"/>
        <v>9.9422794038270132E-2</v>
      </c>
      <c r="R48" s="13">
        <f t="shared" si="15"/>
        <v>9.3257393132274644E-2</v>
      </c>
      <c r="S48" s="13">
        <f t="shared" si="16"/>
        <v>7.1983276394005702E-2</v>
      </c>
    </row>
    <row r="49" spans="1:19" x14ac:dyDescent="0.35">
      <c r="A49" s="7">
        <v>41609</v>
      </c>
      <c r="B49" s="141">
        <f t="shared" si="8"/>
        <v>461459340</v>
      </c>
      <c r="C49" s="154">
        <v>84896337</v>
      </c>
      <c r="D49" s="155">
        <v>31717832</v>
      </c>
      <c r="E49" s="155">
        <v>168534588</v>
      </c>
      <c r="F49" s="155">
        <v>37334792</v>
      </c>
      <c r="G49" s="155">
        <v>25803817</v>
      </c>
      <c r="H49" s="155">
        <v>42716177</v>
      </c>
      <c r="I49" s="155">
        <v>33649030</v>
      </c>
      <c r="J49" s="141">
        <v>36806767</v>
      </c>
      <c r="L49" s="13">
        <f t="shared" si="9"/>
        <v>0.18397360209460709</v>
      </c>
      <c r="M49" s="60">
        <f t="shared" si="10"/>
        <v>6.87337523605005E-2</v>
      </c>
      <c r="N49" s="13">
        <f t="shared" si="11"/>
        <v>0.36522088381611262</v>
      </c>
      <c r="O49" s="60">
        <f t="shared" si="12"/>
        <v>8.0905919035033511E-2</v>
      </c>
      <c r="P49" s="13">
        <f t="shared" si="13"/>
        <v>5.5917856164748987E-2</v>
      </c>
      <c r="Q49" s="60">
        <f t="shared" si="14"/>
        <v>9.2567585694548954E-2</v>
      </c>
      <c r="R49" s="13">
        <f t="shared" si="15"/>
        <v>7.2918732124914842E-2</v>
      </c>
      <c r="S49" s="13">
        <f t="shared" si="16"/>
        <v>7.9761668709533537E-2</v>
      </c>
    </row>
    <row r="50" spans="1:19" x14ac:dyDescent="0.35">
      <c r="A50" s="7">
        <v>41640</v>
      </c>
      <c r="B50" s="141">
        <f t="shared" si="8"/>
        <v>331713022</v>
      </c>
      <c r="C50" s="154">
        <v>74932251</v>
      </c>
      <c r="D50" s="155">
        <v>13387593</v>
      </c>
      <c r="E50" s="155">
        <v>100688057</v>
      </c>
      <c r="F50" s="155">
        <v>38393628</v>
      </c>
      <c r="G50" s="155">
        <v>18112169</v>
      </c>
      <c r="H50" s="155">
        <v>34780431</v>
      </c>
      <c r="I50" s="155">
        <v>24275763</v>
      </c>
      <c r="J50" s="141">
        <v>27143130</v>
      </c>
      <c r="L50" s="13">
        <f t="shared" si="9"/>
        <v>0.22589481277584575</v>
      </c>
      <c r="M50" s="60">
        <f t="shared" si="10"/>
        <v>4.0358961246929885E-2</v>
      </c>
      <c r="N50" s="13">
        <f t="shared" si="11"/>
        <v>0.30353965724022736</v>
      </c>
      <c r="O50" s="60">
        <f t="shared" si="12"/>
        <v>0.11574350554136521</v>
      </c>
      <c r="P50" s="13">
        <f t="shared" si="13"/>
        <v>5.4601923345656292E-2</v>
      </c>
      <c r="Q50" s="60">
        <f t="shared" si="14"/>
        <v>0.10485096662861791</v>
      </c>
      <c r="R50" s="13">
        <f t="shared" si="15"/>
        <v>7.3183026863503725E-2</v>
      </c>
      <c r="S50" s="13">
        <f t="shared" si="16"/>
        <v>8.1827146357853875E-2</v>
      </c>
    </row>
    <row r="51" spans="1:19" x14ac:dyDescent="0.35">
      <c r="A51" s="7">
        <v>41671</v>
      </c>
      <c r="B51" s="141">
        <f t="shared" si="8"/>
        <v>345485710</v>
      </c>
      <c r="C51" s="154">
        <v>71543004</v>
      </c>
      <c r="D51" s="155">
        <v>18937922</v>
      </c>
      <c r="E51" s="155">
        <v>103001240</v>
      </c>
      <c r="F51" s="155">
        <v>36934268</v>
      </c>
      <c r="G51" s="155">
        <v>19141548</v>
      </c>
      <c r="H51" s="155">
        <v>42013481</v>
      </c>
      <c r="I51" s="155">
        <v>27460863</v>
      </c>
      <c r="J51" s="141">
        <v>26453384</v>
      </c>
      <c r="L51" s="13">
        <f t="shared" si="9"/>
        <v>0.20707948817912034</v>
      </c>
      <c r="M51" s="60">
        <f t="shared" si="10"/>
        <v>5.4815355459998619E-2</v>
      </c>
      <c r="N51" s="13">
        <f t="shared" si="11"/>
        <v>0.29813458854781577</v>
      </c>
      <c r="O51" s="60">
        <f t="shared" si="12"/>
        <v>0.10690534204728758</v>
      </c>
      <c r="P51" s="13">
        <f t="shared" si="13"/>
        <v>5.5404745973429696E-2</v>
      </c>
      <c r="Q51" s="60">
        <f t="shared" si="14"/>
        <v>0.12160700076422842</v>
      </c>
      <c r="R51" s="13">
        <f t="shared" si="15"/>
        <v>7.9484801267178315E-2</v>
      </c>
      <c r="S51" s="13">
        <f t="shared" si="16"/>
        <v>7.6568677760941256E-2</v>
      </c>
    </row>
    <row r="52" spans="1:19" x14ac:dyDescent="0.35">
      <c r="A52" s="7">
        <v>41699</v>
      </c>
      <c r="B52" s="141">
        <f t="shared" si="8"/>
        <v>392789343</v>
      </c>
      <c r="C52" s="154">
        <v>77280121</v>
      </c>
      <c r="D52" s="155">
        <v>22664717</v>
      </c>
      <c r="E52" s="155">
        <v>118006055</v>
      </c>
      <c r="F52" s="155">
        <v>40858540</v>
      </c>
      <c r="G52" s="155">
        <v>21654170</v>
      </c>
      <c r="H52" s="155">
        <v>47404137</v>
      </c>
      <c r="I52" s="155">
        <v>32372288</v>
      </c>
      <c r="J52" s="141">
        <v>32549315</v>
      </c>
      <c r="L52" s="13">
        <f t="shared" si="9"/>
        <v>0.19674699015446556</v>
      </c>
      <c r="M52" s="60">
        <f t="shared" si="10"/>
        <v>5.7701965198174943E-2</v>
      </c>
      <c r="N52" s="13">
        <f t="shared" si="11"/>
        <v>0.30043089789225774</v>
      </c>
      <c r="O52" s="60">
        <f t="shared" si="12"/>
        <v>0.1040215085468854</v>
      </c>
      <c r="P52" s="13">
        <f t="shared" si="13"/>
        <v>5.5129219735475361E-2</v>
      </c>
      <c r="Q52" s="60">
        <f t="shared" si="14"/>
        <v>0.12068590414888115</v>
      </c>
      <c r="R52" s="13">
        <f t="shared" si="15"/>
        <v>8.2416411180483581E-2</v>
      </c>
      <c r="S52" s="13">
        <f t="shared" si="16"/>
        <v>8.2867103143376267E-2</v>
      </c>
    </row>
    <row r="53" spans="1:19" x14ac:dyDescent="0.35">
      <c r="A53" s="7">
        <v>41730</v>
      </c>
      <c r="B53" s="141">
        <f t="shared" si="8"/>
        <v>366273152</v>
      </c>
      <c r="C53" s="154">
        <v>76006555</v>
      </c>
      <c r="D53" s="155">
        <v>19757711</v>
      </c>
      <c r="E53" s="155">
        <v>105915014</v>
      </c>
      <c r="F53" s="155">
        <v>43012974</v>
      </c>
      <c r="G53" s="155">
        <v>19594833</v>
      </c>
      <c r="H53" s="155">
        <v>44672996</v>
      </c>
      <c r="I53" s="155">
        <v>29764166</v>
      </c>
      <c r="J53" s="141">
        <v>27548903</v>
      </c>
      <c r="L53" s="13">
        <f t="shared" si="9"/>
        <v>0.2075133123598423</v>
      </c>
      <c r="M53" s="60">
        <f t="shared" si="10"/>
        <v>5.3942558694555914E-2</v>
      </c>
      <c r="N53" s="13">
        <f t="shared" si="11"/>
        <v>0.28916947207749477</v>
      </c>
      <c r="O53" s="60">
        <f t="shared" si="12"/>
        <v>0.11743414379441057</v>
      </c>
      <c r="P53" s="13">
        <f t="shared" si="13"/>
        <v>5.3497868716296193E-2</v>
      </c>
      <c r="Q53" s="60">
        <f t="shared" si="14"/>
        <v>0.12196634057415161</v>
      </c>
      <c r="R53" s="13">
        <f t="shared" si="15"/>
        <v>8.1262210559183978E-2</v>
      </c>
      <c r="S53" s="13">
        <f t="shared" si="16"/>
        <v>7.5214093224064651E-2</v>
      </c>
    </row>
    <row r="54" spans="1:19" x14ac:dyDescent="0.35">
      <c r="A54" s="7">
        <v>41760</v>
      </c>
      <c r="B54" s="141">
        <f t="shared" si="8"/>
        <v>368953913</v>
      </c>
      <c r="C54" s="154">
        <v>75696006</v>
      </c>
      <c r="D54" s="155">
        <v>18647762</v>
      </c>
      <c r="E54" s="155">
        <v>108336586</v>
      </c>
      <c r="F54" s="155">
        <v>46799805</v>
      </c>
      <c r="G54" s="155">
        <v>18891578</v>
      </c>
      <c r="H54" s="155">
        <v>43502749</v>
      </c>
      <c r="I54" s="155">
        <v>31840259</v>
      </c>
      <c r="J54" s="141">
        <v>25239168</v>
      </c>
      <c r="L54" s="13">
        <f t="shared" si="9"/>
        <v>0.20516385199579112</v>
      </c>
      <c r="M54" s="60">
        <f t="shared" si="10"/>
        <v>5.0542252956130053E-2</v>
      </c>
      <c r="N54" s="13">
        <f t="shared" si="11"/>
        <v>0.29363175774205708</v>
      </c>
      <c r="O54" s="60">
        <f t="shared" si="12"/>
        <v>0.12684458234760612</v>
      </c>
      <c r="P54" s="13">
        <f t="shared" si="13"/>
        <v>5.1203083459369629E-2</v>
      </c>
      <c r="Q54" s="60">
        <f t="shared" si="14"/>
        <v>0.11790835512835447</v>
      </c>
      <c r="R54" s="13">
        <f t="shared" si="15"/>
        <v>8.6298743225417418E-2</v>
      </c>
      <c r="S54" s="13">
        <f t="shared" si="16"/>
        <v>6.8407373145274106E-2</v>
      </c>
    </row>
    <row r="55" spans="1:19" x14ac:dyDescent="0.35">
      <c r="A55" s="7">
        <v>41791</v>
      </c>
      <c r="B55" s="141">
        <f t="shared" si="8"/>
        <v>394991978</v>
      </c>
      <c r="C55" s="154">
        <v>74497374</v>
      </c>
      <c r="D55" s="155">
        <v>19813944</v>
      </c>
      <c r="E55" s="155">
        <v>119640148</v>
      </c>
      <c r="F55" s="155">
        <v>43601575</v>
      </c>
      <c r="G55" s="155">
        <v>21261402</v>
      </c>
      <c r="H55" s="155">
        <v>54266333</v>
      </c>
      <c r="I55" s="155">
        <v>32892905</v>
      </c>
      <c r="J55" s="141">
        <v>29018297</v>
      </c>
      <c r="L55" s="13">
        <f t="shared" si="9"/>
        <v>0.18860477718360144</v>
      </c>
      <c r="M55" s="60">
        <f t="shared" si="10"/>
        <v>5.0162902295701813E-2</v>
      </c>
      <c r="N55" s="13">
        <f t="shared" si="11"/>
        <v>0.30289260203659124</v>
      </c>
      <c r="O55" s="60">
        <f t="shared" si="12"/>
        <v>0.11038597599063138</v>
      </c>
      <c r="P55" s="13">
        <f t="shared" si="13"/>
        <v>5.38274273509423E-2</v>
      </c>
      <c r="Q55" s="60">
        <f t="shared" si="14"/>
        <v>0.13738591167033776</v>
      </c>
      <c r="R55" s="13">
        <f t="shared" si="15"/>
        <v>8.3274868432897636E-2</v>
      </c>
      <c r="S55" s="13">
        <f t="shared" si="16"/>
        <v>7.3465535039296412E-2</v>
      </c>
    </row>
    <row r="56" spans="1:19" x14ac:dyDescent="0.35">
      <c r="A56" s="7">
        <v>41821</v>
      </c>
      <c r="B56" s="141">
        <f t="shared" si="8"/>
        <v>365615270</v>
      </c>
      <c r="C56" s="154">
        <v>72019548</v>
      </c>
      <c r="D56" s="155">
        <v>16818326</v>
      </c>
      <c r="E56" s="155">
        <v>107345040</v>
      </c>
      <c r="F56" s="155">
        <v>44788210</v>
      </c>
      <c r="G56" s="155">
        <v>19374408</v>
      </c>
      <c r="H56" s="155">
        <v>48604556</v>
      </c>
      <c r="I56" s="155">
        <v>31468808</v>
      </c>
      <c r="J56" s="141">
        <v>25196374</v>
      </c>
      <c r="L56" s="13">
        <f t="shared" si="9"/>
        <v>0.19698178361095256</v>
      </c>
      <c r="M56" s="60">
        <f t="shared" si="10"/>
        <v>4.6000064494024002E-2</v>
      </c>
      <c r="N56" s="13">
        <f t="shared" si="11"/>
        <v>0.29360108509691074</v>
      </c>
      <c r="O56" s="60">
        <f t="shared" si="12"/>
        <v>0.12250092836658601</v>
      </c>
      <c r="P56" s="13">
        <f t="shared" si="13"/>
        <v>5.2991244047328766E-2</v>
      </c>
      <c r="Q56" s="60">
        <f t="shared" si="14"/>
        <v>0.13293907554791135</v>
      </c>
      <c r="R56" s="13">
        <f t="shared" si="15"/>
        <v>8.6070825214712723E-2</v>
      </c>
      <c r="S56" s="13">
        <f t="shared" si="16"/>
        <v>6.8914993621573842E-2</v>
      </c>
    </row>
    <row r="57" spans="1:19" x14ac:dyDescent="0.35">
      <c r="A57" s="7">
        <v>41852</v>
      </c>
      <c r="B57" s="141">
        <f t="shared" si="8"/>
        <v>368637365</v>
      </c>
      <c r="C57" s="154">
        <v>74392558</v>
      </c>
      <c r="D57" s="155">
        <v>16612559</v>
      </c>
      <c r="E57" s="155">
        <v>109902511</v>
      </c>
      <c r="F57" s="155">
        <v>43349009</v>
      </c>
      <c r="G57" s="155">
        <v>20181663</v>
      </c>
      <c r="H57" s="155">
        <v>49015827</v>
      </c>
      <c r="I57" s="155">
        <v>29943426</v>
      </c>
      <c r="J57" s="141">
        <v>25239812</v>
      </c>
      <c r="L57" s="13">
        <f t="shared" si="9"/>
        <v>0.20180417142467369</v>
      </c>
      <c r="M57" s="60">
        <f t="shared" si="10"/>
        <v>4.506477253058707E-2</v>
      </c>
      <c r="N57" s="13">
        <f t="shared" si="11"/>
        <v>0.29813177239914351</v>
      </c>
      <c r="O57" s="60">
        <f t="shared" si="12"/>
        <v>0.11759255332133789</v>
      </c>
      <c r="P57" s="13">
        <f t="shared" si="13"/>
        <v>5.4746655971784089E-2</v>
      </c>
      <c r="Q57" s="60">
        <f t="shared" si="14"/>
        <v>0.13296489084876137</v>
      </c>
      <c r="R57" s="13">
        <f t="shared" si="15"/>
        <v>8.12273221408253E-2</v>
      </c>
      <c r="S57" s="13">
        <f t="shared" si="16"/>
        <v>6.8467861362887072E-2</v>
      </c>
    </row>
    <row r="58" spans="1:19" x14ac:dyDescent="0.35">
      <c r="A58" s="7">
        <v>41883</v>
      </c>
      <c r="B58" s="141">
        <f t="shared" si="8"/>
        <v>385339979</v>
      </c>
      <c r="C58" s="154">
        <v>76152145</v>
      </c>
      <c r="D58" s="155">
        <v>19082110</v>
      </c>
      <c r="E58" s="155">
        <v>110999443</v>
      </c>
      <c r="F58" s="155">
        <v>43626452</v>
      </c>
      <c r="G58" s="155">
        <v>22841977</v>
      </c>
      <c r="H58" s="155">
        <v>47424335</v>
      </c>
      <c r="I58" s="155">
        <v>30530529</v>
      </c>
      <c r="J58" s="141">
        <v>34682988</v>
      </c>
      <c r="L58" s="13">
        <f t="shared" si="9"/>
        <v>0.19762326555791918</v>
      </c>
      <c r="M58" s="60">
        <f t="shared" si="10"/>
        <v>4.9520192660829514E-2</v>
      </c>
      <c r="N58" s="13">
        <f t="shared" si="11"/>
        <v>0.28805587026826512</v>
      </c>
      <c r="O58" s="60">
        <f t="shared" si="12"/>
        <v>0.11321548341081941</v>
      </c>
      <c r="P58" s="13">
        <f t="shared" si="13"/>
        <v>5.9277464693067834E-2</v>
      </c>
      <c r="Q58" s="60">
        <f t="shared" si="14"/>
        <v>0.12307141118103399</v>
      </c>
      <c r="R58" s="13">
        <f t="shared" si="15"/>
        <v>7.9230110198350329E-2</v>
      </c>
      <c r="S58" s="13">
        <f t="shared" si="16"/>
        <v>9.0006202029714655E-2</v>
      </c>
    </row>
    <row r="59" spans="1:19" x14ac:dyDescent="0.35">
      <c r="A59" s="7">
        <v>41913</v>
      </c>
      <c r="B59" s="141">
        <f t="shared" si="8"/>
        <v>382642203</v>
      </c>
      <c r="C59" s="154">
        <v>80104562</v>
      </c>
      <c r="D59" s="155">
        <v>17603814</v>
      </c>
      <c r="E59" s="155">
        <v>109388785</v>
      </c>
      <c r="F59" s="155">
        <v>44247859</v>
      </c>
      <c r="G59" s="155">
        <v>18445356</v>
      </c>
      <c r="H59" s="155">
        <v>55000727</v>
      </c>
      <c r="I59" s="155">
        <v>30490332</v>
      </c>
      <c r="J59" s="141">
        <v>27360768</v>
      </c>
      <c r="L59" s="13">
        <f t="shared" si="9"/>
        <v>0.20934586245835513</v>
      </c>
      <c r="M59" s="60">
        <f t="shared" si="10"/>
        <v>4.6005939391897135E-2</v>
      </c>
      <c r="N59" s="13">
        <f t="shared" si="11"/>
        <v>0.28587747023816923</v>
      </c>
      <c r="O59" s="60">
        <f t="shared" si="12"/>
        <v>0.11563768620681916</v>
      </c>
      <c r="P59" s="13">
        <f t="shared" si="13"/>
        <v>4.8205231559363564E-2</v>
      </c>
      <c r="Q59" s="60">
        <f t="shared" si="14"/>
        <v>0.14373931199638218</v>
      </c>
      <c r="R59" s="13">
        <f t="shared" si="15"/>
        <v>7.9683662076344461E-2</v>
      </c>
      <c r="S59" s="13">
        <f t="shared" si="16"/>
        <v>7.1504836072669178E-2</v>
      </c>
    </row>
    <row r="60" spans="1:19" x14ac:dyDescent="0.35">
      <c r="A60" s="7">
        <v>41944</v>
      </c>
      <c r="B60" s="141">
        <f t="shared" si="8"/>
        <v>367357188</v>
      </c>
      <c r="C60" s="154">
        <v>76250634</v>
      </c>
      <c r="D60" s="155">
        <v>22313534</v>
      </c>
      <c r="E60" s="155">
        <v>120908401</v>
      </c>
      <c r="F60" s="155">
        <v>34823546</v>
      </c>
      <c r="G60" s="155">
        <v>19708303</v>
      </c>
      <c r="H60" s="155">
        <v>38290747</v>
      </c>
      <c r="I60" s="155">
        <v>26550485</v>
      </c>
      <c r="J60" s="141">
        <v>28511538</v>
      </c>
      <c r="L60" s="13">
        <f t="shared" si="9"/>
        <v>0.20756537912087894</v>
      </c>
      <c r="M60" s="60">
        <f t="shared" si="10"/>
        <v>6.0740703404992311E-2</v>
      </c>
      <c r="N60" s="13">
        <f t="shared" si="11"/>
        <v>0.32913035309928385</v>
      </c>
      <c r="O60" s="60">
        <f t="shared" si="12"/>
        <v>9.4794785940053528E-2</v>
      </c>
      <c r="P60" s="13">
        <f t="shared" si="13"/>
        <v>5.3648883549271942E-2</v>
      </c>
      <c r="Q60" s="60">
        <f t="shared" si="14"/>
        <v>0.10423301421830353</v>
      </c>
      <c r="R60" s="13">
        <f t="shared" si="15"/>
        <v>7.2274303776519541E-2</v>
      </c>
      <c r="S60" s="13">
        <f t="shared" si="16"/>
        <v>7.7612576890696366E-2</v>
      </c>
    </row>
    <row r="61" spans="1:19" ht="15" thickBot="1" x14ac:dyDescent="0.4">
      <c r="A61" s="55">
        <v>41974</v>
      </c>
      <c r="B61" s="156">
        <f t="shared" si="8"/>
        <v>485082080</v>
      </c>
      <c r="C61" s="157">
        <v>91233255</v>
      </c>
      <c r="D61" s="158">
        <v>31199555</v>
      </c>
      <c r="E61" s="158">
        <v>166669265</v>
      </c>
      <c r="F61" s="158">
        <v>42512658</v>
      </c>
      <c r="G61" s="158">
        <v>26469091</v>
      </c>
      <c r="H61" s="158">
        <v>57464210</v>
      </c>
      <c r="I61" s="158">
        <v>30972301</v>
      </c>
      <c r="J61" s="156">
        <v>38561745</v>
      </c>
      <c r="L61" s="58">
        <f t="shared" si="9"/>
        <v>0.18807797435023779</v>
      </c>
      <c r="M61" s="125">
        <f t="shared" si="10"/>
        <v>6.4318094372812121E-2</v>
      </c>
      <c r="N61" s="58">
        <f t="shared" si="11"/>
        <v>0.34358982092267765</v>
      </c>
      <c r="O61" s="125">
        <f t="shared" si="12"/>
        <v>8.7640132985328995E-2</v>
      </c>
      <c r="P61" s="58">
        <f t="shared" si="13"/>
        <v>5.4566210732831029E-2</v>
      </c>
      <c r="Q61" s="125">
        <f t="shared" si="14"/>
        <v>0.11846285890420855</v>
      </c>
      <c r="R61" s="58">
        <f t="shared" si="15"/>
        <v>6.3849608709519834E-2</v>
      </c>
      <c r="S61" s="58">
        <f t="shared" si="16"/>
        <v>7.9495299022384003E-2</v>
      </c>
    </row>
    <row r="62" spans="1:19" x14ac:dyDescent="0.35">
      <c r="A62" s="53">
        <v>42005</v>
      </c>
      <c r="B62" s="140">
        <f t="shared" si="8"/>
        <v>351307120</v>
      </c>
      <c r="C62" s="159">
        <v>75188692</v>
      </c>
      <c r="D62" s="160">
        <v>14386691</v>
      </c>
      <c r="E62" s="160">
        <v>98321923</v>
      </c>
      <c r="F62" s="160">
        <v>43410848</v>
      </c>
      <c r="G62" s="160">
        <v>20726791</v>
      </c>
      <c r="H62" s="160">
        <v>44853345</v>
      </c>
      <c r="I62" s="160">
        <v>27396637</v>
      </c>
      <c r="J62" s="140">
        <v>27022193</v>
      </c>
      <c r="L62" s="65">
        <f t="shared" si="9"/>
        <v>0.21402552843221623</v>
      </c>
      <c r="M62" s="59">
        <f t="shared" si="10"/>
        <v>4.0951891325174392E-2</v>
      </c>
      <c r="N62" s="65">
        <f t="shared" si="11"/>
        <v>0.27987455249981841</v>
      </c>
      <c r="O62" s="59">
        <f t="shared" si="12"/>
        <v>0.12356950807031751</v>
      </c>
      <c r="P62" s="65">
        <f t="shared" si="13"/>
        <v>5.8999063269768059E-2</v>
      </c>
      <c r="Q62" s="59">
        <f t="shared" si="14"/>
        <v>0.12767559336685233</v>
      </c>
      <c r="R62" s="65">
        <f t="shared" si="15"/>
        <v>7.7984861223421825E-2</v>
      </c>
      <c r="S62" s="65">
        <f t="shared" si="16"/>
        <v>7.6919001812431248E-2</v>
      </c>
    </row>
    <row r="63" spans="1:19" x14ac:dyDescent="0.35">
      <c r="A63" s="7">
        <v>42036</v>
      </c>
      <c r="B63" s="141">
        <f t="shared" si="8"/>
        <v>339798681</v>
      </c>
      <c r="C63" s="154">
        <v>75133103</v>
      </c>
      <c r="D63" s="155">
        <v>17380397</v>
      </c>
      <c r="E63" s="155">
        <v>100661743</v>
      </c>
      <c r="F63" s="155">
        <v>35888783</v>
      </c>
      <c r="G63" s="155">
        <v>17659871</v>
      </c>
      <c r="H63" s="155">
        <v>40783421</v>
      </c>
      <c r="I63" s="155">
        <v>25499806</v>
      </c>
      <c r="J63" s="141">
        <v>26791557</v>
      </c>
      <c r="L63" s="13">
        <f t="shared" si="9"/>
        <v>0.22111063756601221</v>
      </c>
      <c r="M63" s="60">
        <f t="shared" si="10"/>
        <v>5.1149100840682783E-2</v>
      </c>
      <c r="N63" s="13">
        <f t="shared" si="11"/>
        <v>0.29623935768014353</v>
      </c>
      <c r="O63" s="60">
        <f t="shared" si="12"/>
        <v>0.10561778195954798</v>
      </c>
      <c r="P63" s="13">
        <f t="shared" si="13"/>
        <v>5.1971570189820716E-2</v>
      </c>
      <c r="Q63" s="60">
        <f t="shared" si="14"/>
        <v>0.12002230520724122</v>
      </c>
      <c r="R63" s="13">
        <f t="shared" si="15"/>
        <v>7.5043863987217768E-2</v>
      </c>
      <c r="S63" s="13">
        <f t="shared" si="16"/>
        <v>7.8845382569333752E-2</v>
      </c>
    </row>
    <row r="64" spans="1:19" x14ac:dyDescent="0.35">
      <c r="A64" s="7">
        <v>42064</v>
      </c>
      <c r="B64" s="141">
        <f t="shared" si="8"/>
        <v>409226558</v>
      </c>
      <c r="C64" s="154">
        <v>81296861</v>
      </c>
      <c r="D64" s="155">
        <v>23570491</v>
      </c>
      <c r="E64" s="155">
        <v>119256372</v>
      </c>
      <c r="F64" s="155">
        <v>44422578</v>
      </c>
      <c r="G64" s="155">
        <v>24283224</v>
      </c>
      <c r="H64" s="155">
        <v>48442717</v>
      </c>
      <c r="I64" s="155">
        <v>32719173</v>
      </c>
      <c r="J64" s="141">
        <v>35235142</v>
      </c>
      <c r="L64" s="13">
        <f t="shared" si="9"/>
        <v>0.19865978737381948</v>
      </c>
      <c r="M64" s="60">
        <f t="shared" si="10"/>
        <v>5.7597657188221886E-2</v>
      </c>
      <c r="N64" s="13">
        <f t="shared" si="11"/>
        <v>0.29141894549278008</v>
      </c>
      <c r="O64" s="60">
        <f t="shared" si="12"/>
        <v>0.10855252947683811</v>
      </c>
      <c r="P64" s="13">
        <f t="shared" si="13"/>
        <v>5.9339315900411332E-2</v>
      </c>
      <c r="Q64" s="60">
        <f t="shared" si="14"/>
        <v>0.11837627850145542</v>
      </c>
      <c r="R64" s="13">
        <f t="shared" si="15"/>
        <v>7.9953689124937E-2</v>
      </c>
      <c r="S64" s="13">
        <f t="shared" si="16"/>
        <v>8.6101796941536718E-2</v>
      </c>
    </row>
    <row r="65" spans="1:20" x14ac:dyDescent="0.35">
      <c r="A65" s="7">
        <v>42095</v>
      </c>
      <c r="B65" s="141">
        <f t="shared" si="8"/>
        <v>354942186</v>
      </c>
      <c r="C65" s="154">
        <v>75742578</v>
      </c>
      <c r="D65" s="155">
        <v>18679498</v>
      </c>
      <c r="E65" s="155">
        <v>102352893</v>
      </c>
      <c r="F65" s="155">
        <v>44666771</v>
      </c>
      <c r="G65" s="155">
        <v>17826992</v>
      </c>
      <c r="H65" s="155">
        <v>41577455</v>
      </c>
      <c r="I65" s="155">
        <v>28248252</v>
      </c>
      <c r="J65" s="141">
        <v>25847747</v>
      </c>
      <c r="L65" s="13">
        <f t="shared" si="9"/>
        <v>0.21339412723400536</v>
      </c>
      <c r="M65" s="60">
        <f t="shared" si="10"/>
        <v>5.2626874845471315E-2</v>
      </c>
      <c r="N65" s="13">
        <f t="shared" si="11"/>
        <v>0.28836497051381771</v>
      </c>
      <c r="O65" s="60">
        <f t="shared" si="12"/>
        <v>0.12584238437073242</v>
      </c>
      <c r="P65" s="13">
        <f t="shared" si="13"/>
        <v>5.0225058342318316E-2</v>
      </c>
      <c r="Q65" s="60">
        <f t="shared" si="14"/>
        <v>0.1171386683238605</v>
      </c>
      <c r="R65" s="13">
        <f t="shared" si="15"/>
        <v>7.9585501848461596E-2</v>
      </c>
      <c r="S65" s="13">
        <f t="shared" si="16"/>
        <v>7.2822414521332784E-2</v>
      </c>
    </row>
    <row r="66" spans="1:20" x14ac:dyDescent="0.35">
      <c r="A66" s="7">
        <v>42125</v>
      </c>
      <c r="B66" s="141">
        <f t="shared" si="8"/>
        <v>358595622</v>
      </c>
      <c r="C66" s="154">
        <v>77439645</v>
      </c>
      <c r="D66" s="155">
        <v>17188685</v>
      </c>
      <c r="E66" s="155">
        <v>111849493</v>
      </c>
      <c r="F66" s="155">
        <v>40781272</v>
      </c>
      <c r="G66" s="155">
        <v>17920574</v>
      </c>
      <c r="H66" s="155">
        <v>38850091</v>
      </c>
      <c r="I66" s="155">
        <v>28359992</v>
      </c>
      <c r="J66" s="141">
        <v>26205870</v>
      </c>
      <c r="L66" s="13">
        <f t="shared" ref="L66:L77" si="17">C66/$B66</f>
        <v>0.21595256676056129</v>
      </c>
      <c r="M66" s="60">
        <f t="shared" ref="M66:M77" si="18">D66/$B66</f>
        <v>4.7933337568744773E-2</v>
      </c>
      <c r="N66" s="13">
        <f t="shared" ref="N66:N77" si="19">E66/$B66</f>
        <v>0.31190981188275635</v>
      </c>
      <c r="O66" s="60">
        <f t="shared" ref="O66:O77" si="20">F66/$B66</f>
        <v>0.11372495785796291</v>
      </c>
      <c r="P66" s="13">
        <f t="shared" ref="P66:P77" si="21">G66/$B66</f>
        <v>4.9974324561051109E-2</v>
      </c>
      <c r="Q66" s="60">
        <f t="shared" ref="Q66:Q77" si="22">H66/$B66</f>
        <v>0.10833955747513281</v>
      </c>
      <c r="R66" s="13">
        <f t="shared" ref="R66:R77" si="23">I66/$B66</f>
        <v>7.9086275068913137E-2</v>
      </c>
      <c r="S66" s="13">
        <f t="shared" ref="S66:S77" si="24">J66/$B66</f>
        <v>7.3079168824877624E-2</v>
      </c>
    </row>
    <row r="67" spans="1:20" x14ac:dyDescent="0.35">
      <c r="A67" s="7">
        <v>42156</v>
      </c>
      <c r="B67" s="141">
        <f t="shared" ref="B67:B77" si="25">SUM(C67:J67)</f>
        <v>384142735.80000001</v>
      </c>
      <c r="C67" s="154">
        <v>75963139.390000001</v>
      </c>
      <c r="D67" s="155">
        <v>17565050.850000001</v>
      </c>
      <c r="E67" s="155">
        <v>111697428.69</v>
      </c>
      <c r="F67" s="155">
        <v>46340085</v>
      </c>
      <c r="G67" s="155">
        <v>20539250.379999999</v>
      </c>
      <c r="H67" s="155">
        <v>49714997.950000003</v>
      </c>
      <c r="I67" s="155">
        <v>31535404.809999999</v>
      </c>
      <c r="J67" s="141">
        <v>30787378.73</v>
      </c>
      <c r="L67" s="13">
        <f t="shared" si="17"/>
        <v>0.1977471713263099</v>
      </c>
      <c r="M67" s="60">
        <f t="shared" si="18"/>
        <v>4.5725323461915122E-2</v>
      </c>
      <c r="N67" s="13">
        <f t="shared" si="19"/>
        <v>0.29077063882877674</v>
      </c>
      <c r="O67" s="60">
        <f t="shared" si="20"/>
        <v>0.12063246465794551</v>
      </c>
      <c r="P67" s="13">
        <f t="shared" si="21"/>
        <v>5.3467756814991677E-2</v>
      </c>
      <c r="Q67" s="60">
        <f t="shared" si="22"/>
        <v>0.12941803480017805</v>
      </c>
      <c r="R67" s="13">
        <f t="shared" si="23"/>
        <v>8.2092935440587336E-2</v>
      </c>
      <c r="S67" s="13">
        <f t="shared" si="24"/>
        <v>8.0145674669295675E-2</v>
      </c>
    </row>
    <row r="68" spans="1:20" x14ac:dyDescent="0.35">
      <c r="A68" s="7">
        <v>42186</v>
      </c>
      <c r="B68" s="141">
        <f t="shared" si="25"/>
        <v>357241134</v>
      </c>
      <c r="C68" s="154">
        <v>74077827</v>
      </c>
      <c r="D68" s="155">
        <v>15815809</v>
      </c>
      <c r="E68" s="155">
        <v>105803908</v>
      </c>
      <c r="F68" s="155">
        <v>43751939</v>
      </c>
      <c r="G68" s="155">
        <v>21427071</v>
      </c>
      <c r="H68" s="155">
        <v>41925088</v>
      </c>
      <c r="I68" s="155">
        <v>29016630</v>
      </c>
      <c r="J68" s="141">
        <v>25422862</v>
      </c>
      <c r="L68" s="13">
        <f t="shared" si="17"/>
        <v>0.20736085503524351</v>
      </c>
      <c r="M68" s="60">
        <f t="shared" si="18"/>
        <v>4.42720826208104E-2</v>
      </c>
      <c r="N68" s="13">
        <f t="shared" si="19"/>
        <v>0.29616944391403704</v>
      </c>
      <c r="O68" s="60">
        <f t="shared" si="20"/>
        <v>0.12247172801774837</v>
      </c>
      <c r="P68" s="13">
        <f t="shared" si="21"/>
        <v>5.9979293985781605E-2</v>
      </c>
      <c r="Q68" s="60">
        <f t="shared" si="22"/>
        <v>0.11735795240197619</v>
      </c>
      <c r="R68" s="13">
        <f t="shared" si="23"/>
        <v>8.1224213110912366E-2</v>
      </c>
      <c r="S68" s="13">
        <f t="shared" si="24"/>
        <v>7.1164430913490492E-2</v>
      </c>
    </row>
    <row r="69" spans="1:20" x14ac:dyDescent="0.35">
      <c r="A69" s="7">
        <v>42217</v>
      </c>
      <c r="B69" s="141">
        <f t="shared" si="25"/>
        <v>349269779</v>
      </c>
      <c r="C69" s="154">
        <v>74747493</v>
      </c>
      <c r="D69" s="155">
        <v>15185201</v>
      </c>
      <c r="E69" s="155">
        <v>104450632</v>
      </c>
      <c r="F69" s="155">
        <v>41311327</v>
      </c>
      <c r="G69" s="155">
        <v>19214621</v>
      </c>
      <c r="H69" s="155">
        <v>41053678</v>
      </c>
      <c r="I69" s="155">
        <v>27615835</v>
      </c>
      <c r="J69" s="141">
        <v>25690992</v>
      </c>
      <c r="L69" s="13">
        <f t="shared" si="17"/>
        <v>0.21401076615907269</v>
      </c>
      <c r="M69" s="60">
        <f t="shared" si="18"/>
        <v>4.3476996616990442E-2</v>
      </c>
      <c r="N69" s="13">
        <f t="shared" si="19"/>
        <v>0.29905430781630837</v>
      </c>
      <c r="O69" s="60">
        <f t="shared" si="20"/>
        <v>0.11827913402149803</v>
      </c>
      <c r="P69" s="13">
        <f t="shared" si="21"/>
        <v>5.5013694729082185E-2</v>
      </c>
      <c r="Q69" s="60">
        <f t="shared" si="22"/>
        <v>0.11754145496796618</v>
      </c>
      <c r="R69" s="13">
        <f t="shared" si="23"/>
        <v>7.9067347535957302E-2</v>
      </c>
      <c r="S69" s="13">
        <f t="shared" si="24"/>
        <v>7.3556298153124783E-2</v>
      </c>
    </row>
    <row r="70" spans="1:20" x14ac:dyDescent="0.35">
      <c r="A70" s="7">
        <v>42248</v>
      </c>
      <c r="B70" s="141">
        <f t="shared" si="25"/>
        <v>369535537.47000003</v>
      </c>
      <c r="C70" s="154">
        <v>77702533.590000004</v>
      </c>
      <c r="D70" s="155">
        <v>16861519.879999999</v>
      </c>
      <c r="E70" s="155">
        <v>112012836</v>
      </c>
      <c r="F70" s="155">
        <v>38980035</v>
      </c>
      <c r="G70" s="155">
        <v>21022786</v>
      </c>
      <c r="H70" s="155">
        <v>44745718</v>
      </c>
      <c r="I70" s="155">
        <v>27862797</v>
      </c>
      <c r="J70" s="141">
        <v>30347312</v>
      </c>
      <c r="L70" s="13">
        <f t="shared" si="17"/>
        <v>0.21027080134696957</v>
      </c>
      <c r="M70" s="60">
        <f t="shared" si="18"/>
        <v>4.5628953565443935E-2</v>
      </c>
      <c r="N70" s="13">
        <f t="shared" si="19"/>
        <v>0.30311789974758119</v>
      </c>
      <c r="O70" s="60">
        <f t="shared" si="20"/>
        <v>0.10548386027193532</v>
      </c>
      <c r="P70" s="13">
        <f t="shared" si="21"/>
        <v>5.6889754484591867E-2</v>
      </c>
      <c r="Q70" s="60">
        <f t="shared" si="22"/>
        <v>0.12108637319795687</v>
      </c>
      <c r="R70" s="13">
        <f t="shared" si="23"/>
        <v>7.5399506068511701E-2</v>
      </c>
      <c r="S70" s="13">
        <f t="shared" si="24"/>
        <v>8.2122851317009485E-2</v>
      </c>
    </row>
    <row r="71" spans="1:20" x14ac:dyDescent="0.35">
      <c r="A71" s="7">
        <v>42278</v>
      </c>
      <c r="B71" s="141">
        <f t="shared" si="25"/>
        <v>350206031</v>
      </c>
      <c r="C71" s="154">
        <v>75545519</v>
      </c>
      <c r="D71" s="155">
        <v>15515057</v>
      </c>
      <c r="E71" s="155">
        <v>103787397</v>
      </c>
      <c r="F71" s="155">
        <v>40580127</v>
      </c>
      <c r="G71" s="155">
        <v>16864642</v>
      </c>
      <c r="H71" s="155">
        <v>40992729</v>
      </c>
      <c r="I71" s="155">
        <v>29746219</v>
      </c>
      <c r="J71" s="141">
        <v>27174341</v>
      </c>
      <c r="L71" s="13">
        <f t="shared" si="17"/>
        <v>0.21571735582132223</v>
      </c>
      <c r="M71" s="60">
        <f t="shared" si="18"/>
        <v>4.4302655084772082E-2</v>
      </c>
      <c r="N71" s="13">
        <f t="shared" si="19"/>
        <v>0.29636096415484059</v>
      </c>
      <c r="O71" s="60">
        <f t="shared" si="20"/>
        <v>0.11587500901719194</v>
      </c>
      <c r="P71" s="13">
        <f t="shared" si="21"/>
        <v>4.8156343715279992E-2</v>
      </c>
      <c r="Q71" s="60">
        <f t="shared" si="22"/>
        <v>0.11705317833318525</v>
      </c>
      <c r="R71" s="13">
        <f t="shared" si="23"/>
        <v>8.4939196835248101E-2</v>
      </c>
      <c r="S71" s="13">
        <f t="shared" si="24"/>
        <v>7.7595297038159802E-2</v>
      </c>
    </row>
    <row r="72" spans="1:20" x14ac:dyDescent="0.35">
      <c r="A72" s="7">
        <v>42309</v>
      </c>
      <c r="B72" s="141">
        <f t="shared" si="25"/>
        <v>356821399</v>
      </c>
      <c r="C72" s="154">
        <v>76157343</v>
      </c>
      <c r="D72" s="155">
        <v>20264607</v>
      </c>
      <c r="E72" s="155">
        <v>120240027</v>
      </c>
      <c r="F72" s="155">
        <f>20877958+17044719</f>
        <v>37922677</v>
      </c>
      <c r="G72" s="155">
        <v>15848416</v>
      </c>
      <c r="H72" s="155">
        <v>35602781</v>
      </c>
      <c r="I72" s="155">
        <v>25881885</v>
      </c>
      <c r="J72" s="141">
        <v>24903663</v>
      </c>
      <c r="L72" s="13">
        <f t="shared" si="17"/>
        <v>0.21343266747295053</v>
      </c>
      <c r="M72" s="60">
        <f t="shared" si="18"/>
        <v>5.6792017117785025E-2</v>
      </c>
      <c r="N72" s="13">
        <f t="shared" si="19"/>
        <v>0.3369753813447719</v>
      </c>
      <c r="O72" s="60">
        <f t="shared" si="20"/>
        <v>0.10627915563999007</v>
      </c>
      <c r="P72" s="13">
        <f t="shared" si="21"/>
        <v>4.4415542465826158E-2</v>
      </c>
      <c r="Q72" s="60">
        <f t="shared" si="22"/>
        <v>9.9777594896992144E-2</v>
      </c>
      <c r="R72" s="13">
        <f t="shared" si="23"/>
        <v>7.2534565114465016E-2</v>
      </c>
      <c r="S72" s="13">
        <f t="shared" si="24"/>
        <v>6.9793075947219188E-2</v>
      </c>
    </row>
    <row r="73" spans="1:20" ht="15" thickBot="1" x14ac:dyDescent="0.4">
      <c r="A73" s="15">
        <v>42339</v>
      </c>
      <c r="B73" s="142">
        <f t="shared" si="25"/>
        <v>454671830.93000001</v>
      </c>
      <c r="C73" s="161">
        <v>92331032.299999997</v>
      </c>
      <c r="D73" s="162">
        <v>29574487.460000001</v>
      </c>
      <c r="E73" s="162">
        <v>162512603.16</v>
      </c>
      <c r="F73" s="162">
        <v>36121684.290000007</v>
      </c>
      <c r="G73" s="162">
        <v>29022302.470000003</v>
      </c>
      <c r="H73" s="162">
        <v>41807247.080000006</v>
      </c>
      <c r="I73" s="162">
        <v>30791456.189999998</v>
      </c>
      <c r="J73" s="142">
        <v>32511017.98</v>
      </c>
      <c r="L73" s="57">
        <f t="shared" si="17"/>
        <v>0.20307181140107847</v>
      </c>
      <c r="M73" s="61">
        <f t="shared" si="18"/>
        <v>6.5045787858701118E-2</v>
      </c>
      <c r="N73" s="57">
        <f t="shared" si="19"/>
        <v>0.35742835184575134</v>
      </c>
      <c r="O73" s="61">
        <f t="shared" si="20"/>
        <v>7.9445617328250978E-2</v>
      </c>
      <c r="P73" s="57">
        <f t="shared" si="21"/>
        <v>6.3831318537233492E-2</v>
      </c>
      <c r="Q73" s="61">
        <f t="shared" si="22"/>
        <v>9.1950378791855553E-2</v>
      </c>
      <c r="R73" s="57">
        <f t="shared" si="23"/>
        <v>6.7722374898436508E-2</v>
      </c>
      <c r="S73" s="57">
        <f t="shared" si="24"/>
        <v>7.1504359338692577E-2</v>
      </c>
    </row>
    <row r="74" spans="1:20" x14ac:dyDescent="0.35">
      <c r="A74" s="42">
        <v>42370</v>
      </c>
      <c r="B74" s="163">
        <f t="shared" si="25"/>
        <v>322879736.46000004</v>
      </c>
      <c r="C74" s="164">
        <v>78943091</v>
      </c>
      <c r="D74" s="165">
        <v>13971790</v>
      </c>
      <c r="E74" s="165">
        <v>98509457</v>
      </c>
      <c r="F74" s="165">
        <v>35712069.460000001</v>
      </c>
      <c r="G74" s="165">
        <v>19532786</v>
      </c>
      <c r="H74" s="165">
        <v>25149393</v>
      </c>
      <c r="I74" s="165">
        <v>26679901</v>
      </c>
      <c r="J74" s="163">
        <v>24381249</v>
      </c>
      <c r="L74" s="65">
        <f t="shared" si="17"/>
        <v>0.2444968887348552</v>
      </c>
      <c r="M74" s="59">
        <f t="shared" si="18"/>
        <v>4.3272427539691377E-2</v>
      </c>
      <c r="N74" s="65">
        <f t="shared" si="19"/>
        <v>0.30509643646281853</v>
      </c>
      <c r="O74" s="59">
        <f t="shared" si="20"/>
        <v>0.11060486437316017</v>
      </c>
      <c r="P74" s="65">
        <f t="shared" si="21"/>
        <v>6.0495546156455131E-2</v>
      </c>
      <c r="Q74" s="59">
        <f t="shared" si="22"/>
        <v>7.7890899180400042E-2</v>
      </c>
      <c r="R74" s="65">
        <f t="shared" si="23"/>
        <v>8.2631078966162494E-2</v>
      </c>
      <c r="S74" s="65">
        <f t="shared" si="24"/>
        <v>7.5511858586456912E-2</v>
      </c>
    </row>
    <row r="75" spans="1:20" x14ac:dyDescent="0.35">
      <c r="A75" s="7">
        <v>42401</v>
      </c>
      <c r="B75" s="141">
        <f t="shared" si="25"/>
        <v>333560294.71999997</v>
      </c>
      <c r="C75" s="154">
        <v>70728390.599999994</v>
      </c>
      <c r="D75" s="155">
        <v>16504073.23</v>
      </c>
      <c r="E75" s="155">
        <v>106033744.53999999</v>
      </c>
      <c r="F75" s="155">
        <v>37956260.849999994</v>
      </c>
      <c r="G75" s="155">
        <v>16410410.300000001</v>
      </c>
      <c r="H75" s="155">
        <v>28634936.439999994</v>
      </c>
      <c r="I75" s="155">
        <v>31276076.18</v>
      </c>
      <c r="J75" s="141">
        <v>26016402.579999998</v>
      </c>
      <c r="L75" s="13">
        <f t="shared" si="17"/>
        <v>0.21204079658033467</v>
      </c>
      <c r="M75" s="60">
        <f t="shared" si="18"/>
        <v>4.9478530542293682E-2</v>
      </c>
      <c r="N75" s="13">
        <f t="shared" si="19"/>
        <v>0.3178847909011705</v>
      </c>
      <c r="O75" s="60">
        <f t="shared" si="20"/>
        <v>0.11379130385366029</v>
      </c>
      <c r="P75" s="13">
        <f t="shared" si="21"/>
        <v>4.9197732942931255E-2</v>
      </c>
      <c r="Q75" s="60">
        <f t="shared" si="22"/>
        <v>8.5846357894715786E-2</v>
      </c>
      <c r="R75" s="13">
        <f t="shared" si="23"/>
        <v>9.3764385854899282E-2</v>
      </c>
      <c r="S75" s="13">
        <f t="shared" si="24"/>
        <v>7.7996101429994566E-2</v>
      </c>
    </row>
    <row r="76" spans="1:20" x14ac:dyDescent="0.35">
      <c r="A76" s="7">
        <v>42430</v>
      </c>
      <c r="B76" s="141">
        <f t="shared" si="25"/>
        <v>397228840.57999998</v>
      </c>
      <c r="C76" s="154">
        <v>83995708.24000001</v>
      </c>
      <c r="D76" s="155">
        <v>22314392.530000001</v>
      </c>
      <c r="E76" s="155">
        <v>123592482.08000001</v>
      </c>
      <c r="F76" s="155">
        <v>46805505.159999996</v>
      </c>
      <c r="G76" s="155">
        <v>21141108.370000001</v>
      </c>
      <c r="H76" s="155">
        <v>33784351.210000001</v>
      </c>
      <c r="I76" s="155">
        <v>32602078.760000002</v>
      </c>
      <c r="J76" s="141">
        <v>32993214.229999997</v>
      </c>
      <c r="L76" s="13">
        <f t="shared" si="17"/>
        <v>0.21145420387239902</v>
      </c>
      <c r="M76" s="60">
        <f t="shared" si="18"/>
        <v>5.617515711451971E-2</v>
      </c>
      <c r="N76" s="13">
        <f t="shared" si="19"/>
        <v>0.31113672889294924</v>
      </c>
      <c r="O76" s="60">
        <f t="shared" si="20"/>
        <v>0.11783007772461475</v>
      </c>
      <c r="P76" s="13">
        <f t="shared" si="21"/>
        <v>5.322148396660107E-2</v>
      </c>
      <c r="Q76" s="60">
        <f t="shared" si="22"/>
        <v>8.5050096464977076E-2</v>
      </c>
      <c r="R76" s="13">
        <f t="shared" si="23"/>
        <v>8.2073795831131502E-2</v>
      </c>
      <c r="S76" s="13">
        <f t="shared" si="24"/>
        <v>8.3058456132807712E-2</v>
      </c>
      <c r="T76" s="17"/>
    </row>
    <row r="77" spans="1:20" x14ac:dyDescent="0.35">
      <c r="A77" s="7">
        <v>42461</v>
      </c>
      <c r="B77" s="141">
        <f t="shared" si="25"/>
        <v>351764265</v>
      </c>
      <c r="C77" s="154">
        <v>85868345</v>
      </c>
      <c r="D77" s="155">
        <v>17305309</v>
      </c>
      <c r="E77" s="155">
        <v>104883288</v>
      </c>
      <c r="F77" s="155">
        <v>36897147</v>
      </c>
      <c r="G77" s="155">
        <v>17228525</v>
      </c>
      <c r="H77" s="155">
        <v>36017172</v>
      </c>
      <c r="I77" s="155">
        <v>26322368</v>
      </c>
      <c r="J77" s="141">
        <v>27242111</v>
      </c>
      <c r="L77" s="13">
        <f t="shared" si="17"/>
        <v>0.244107641235246</v>
      </c>
      <c r="M77" s="60">
        <f t="shared" si="18"/>
        <v>4.919575614083483E-2</v>
      </c>
      <c r="N77" s="13">
        <f t="shared" si="19"/>
        <v>0.29816356701269814</v>
      </c>
      <c r="O77" s="60">
        <f t="shared" si="20"/>
        <v>0.10489168648213883</v>
      </c>
      <c r="P77" s="13">
        <f t="shared" si="21"/>
        <v>4.8977473593004112E-2</v>
      </c>
      <c r="Q77" s="60">
        <f t="shared" si="22"/>
        <v>0.10239008217619831</v>
      </c>
      <c r="R77" s="13">
        <f t="shared" si="23"/>
        <v>7.4829568034717797E-2</v>
      </c>
      <c r="S77" s="13">
        <f t="shared" si="24"/>
        <v>7.7444225325162014E-2</v>
      </c>
      <c r="T77" s="17"/>
    </row>
    <row r="78" spans="1:20" x14ac:dyDescent="0.35">
      <c r="A78" s="7">
        <v>42491</v>
      </c>
      <c r="B78" s="141">
        <f>SUM(C78:J78)</f>
        <v>353256468.31999999</v>
      </c>
      <c r="C78" s="154">
        <v>83309888.670000002</v>
      </c>
      <c r="D78" s="155">
        <v>17117238.719999999</v>
      </c>
      <c r="E78" s="155">
        <v>105066423.60000001</v>
      </c>
      <c r="F78" s="155">
        <v>39390744.360000007</v>
      </c>
      <c r="G78" s="155">
        <v>14625612.290000001</v>
      </c>
      <c r="H78" s="155">
        <v>36361884.989999995</v>
      </c>
      <c r="I78" s="155">
        <v>29715365.82</v>
      </c>
      <c r="J78" s="141">
        <v>27669309.869999997</v>
      </c>
      <c r="L78" s="13">
        <f t="shared" ref="L78:L84" si="26">C78/$B78</f>
        <v>0.23583400770041418</v>
      </c>
      <c r="M78" s="60">
        <f t="shared" ref="M78:M84" si="27">D78/$B78</f>
        <v>4.8455556387701361E-2</v>
      </c>
      <c r="N78" s="13">
        <f t="shared" ref="N78:N84" si="28">E78/$B78</f>
        <v>0.29742250467392661</v>
      </c>
      <c r="O78" s="60">
        <f t="shared" ref="O78:O84" si="29">F78/$B78</f>
        <v>0.11150749637319481</v>
      </c>
      <c r="P78" s="13">
        <f t="shared" ref="P78:P84" si="30">G78/$B78</f>
        <v>4.1402249078568272E-2</v>
      </c>
      <c r="Q78" s="60">
        <f t="shared" ref="Q78:Q84" si="31">H78/$B78</f>
        <v>0.10293338764022662</v>
      </c>
      <c r="R78" s="13">
        <f t="shared" ref="R78:R84" si="32">I78/$B78</f>
        <v>8.4118391267735015E-2</v>
      </c>
      <c r="S78" s="13">
        <f t="shared" ref="S78:S84" si="33">J78/$B78</f>
        <v>7.8326406878233154E-2</v>
      </c>
    </row>
    <row r="79" spans="1:20" x14ac:dyDescent="0.35">
      <c r="A79" s="7">
        <v>42522</v>
      </c>
      <c r="B79" s="141">
        <f>SUM(C79:J79)</f>
        <v>395785671.09000003</v>
      </c>
      <c r="C79" s="154">
        <v>84751553.579999998</v>
      </c>
      <c r="D79" s="155">
        <v>17927524.689999998</v>
      </c>
      <c r="E79" s="155">
        <v>115387031.56</v>
      </c>
      <c r="F79" s="155">
        <v>51815104.889999993</v>
      </c>
      <c r="G79" s="155">
        <v>18641154.98</v>
      </c>
      <c r="H79" s="155">
        <v>42500772.5</v>
      </c>
      <c r="I79" s="155">
        <v>33509403.419999998</v>
      </c>
      <c r="J79" s="141">
        <v>31253125.470000003</v>
      </c>
      <c r="L79" s="13">
        <f t="shared" si="26"/>
        <v>0.2141349719574053</v>
      </c>
      <c r="M79" s="60">
        <f t="shared" si="27"/>
        <v>4.5296042781506743E-2</v>
      </c>
      <c r="N79" s="13">
        <f t="shared" si="28"/>
        <v>0.2915391839280646</v>
      </c>
      <c r="O79" s="60">
        <f t="shared" si="29"/>
        <v>0.13091708132661894</v>
      </c>
      <c r="P79" s="13">
        <f t="shared" si="30"/>
        <v>4.7099115358729293E-2</v>
      </c>
      <c r="Q79" s="60">
        <f t="shared" si="31"/>
        <v>0.10738330264193799</v>
      </c>
      <c r="R79" s="13">
        <f t="shared" si="32"/>
        <v>8.4665529521861085E-2</v>
      </c>
      <c r="S79" s="13">
        <f t="shared" si="33"/>
        <v>7.8964772483875928E-2</v>
      </c>
    </row>
    <row r="80" spans="1:20" x14ac:dyDescent="0.35">
      <c r="A80" s="7">
        <v>42552</v>
      </c>
      <c r="B80" s="141">
        <f>SUM(C80:J80)</f>
        <v>337959133.66000003</v>
      </c>
      <c r="C80" s="154">
        <v>80181992.390000001</v>
      </c>
      <c r="D80" s="155">
        <v>16329573.969999999</v>
      </c>
      <c r="E80" s="155">
        <v>102648697.06999999</v>
      </c>
      <c r="F80" s="155">
        <v>39405679.93</v>
      </c>
      <c r="G80" s="155">
        <v>14647796.98</v>
      </c>
      <c r="H80" s="155">
        <v>33300824.000000004</v>
      </c>
      <c r="I80" s="155">
        <v>27944715.879999999</v>
      </c>
      <c r="J80" s="141">
        <v>23499853.440000001</v>
      </c>
      <c r="L80" s="13">
        <f t="shared" si="26"/>
        <v>0.23725351500831515</v>
      </c>
      <c r="M80" s="60">
        <f t="shared" si="27"/>
        <v>4.8318190998880302E-2</v>
      </c>
      <c r="N80" s="13">
        <f t="shared" si="28"/>
        <v>0.30373109304176571</v>
      </c>
      <c r="O80" s="60">
        <f t="shared" si="29"/>
        <v>0.11659894941511964</v>
      </c>
      <c r="P80" s="13">
        <f t="shared" si="30"/>
        <v>4.3341917767892764E-2</v>
      </c>
      <c r="Q80" s="60">
        <f t="shared" si="31"/>
        <v>9.8535061441783436E-2</v>
      </c>
      <c r="R80" s="13">
        <f t="shared" si="32"/>
        <v>8.2686671543292165E-2</v>
      </c>
      <c r="S80" s="13">
        <f t="shared" si="33"/>
        <v>6.9534600782950776E-2</v>
      </c>
    </row>
    <row r="81" spans="1:20" x14ac:dyDescent="0.35">
      <c r="A81" s="7">
        <v>42583</v>
      </c>
      <c r="B81" s="141">
        <f>SUM(C81:J81)</f>
        <v>351128150</v>
      </c>
      <c r="C81" s="154">
        <v>78649258</v>
      </c>
      <c r="D81" s="155">
        <v>13747524</v>
      </c>
      <c r="E81" s="155">
        <v>108093134</v>
      </c>
      <c r="F81" s="155">
        <v>38956652</v>
      </c>
      <c r="G81" s="155">
        <v>18380239</v>
      </c>
      <c r="H81" s="155">
        <v>35553385</v>
      </c>
      <c r="I81" s="155">
        <v>32124535</v>
      </c>
      <c r="J81" s="141">
        <v>25623423</v>
      </c>
      <c r="L81" s="13">
        <f t="shared" si="26"/>
        <v>0.22399018136255952</v>
      </c>
      <c r="M81" s="60">
        <f t="shared" si="27"/>
        <v>3.9152440497863816E-2</v>
      </c>
      <c r="N81" s="13">
        <f t="shared" si="28"/>
        <v>0.30784525250966066</v>
      </c>
      <c r="O81" s="60">
        <f t="shared" si="29"/>
        <v>0.11094710577890152</v>
      </c>
      <c r="P81" s="13">
        <f t="shared" si="30"/>
        <v>5.2346241678429939E-2</v>
      </c>
      <c r="Q81" s="60">
        <f t="shared" si="31"/>
        <v>0.10125472708468404</v>
      </c>
      <c r="R81" s="13">
        <f t="shared" si="32"/>
        <v>9.1489488951540909E-2</v>
      </c>
      <c r="S81" s="13">
        <f t="shared" si="33"/>
        <v>7.2974562136359611E-2</v>
      </c>
    </row>
    <row r="82" spans="1:20" x14ac:dyDescent="0.35">
      <c r="A82" s="7">
        <v>42614</v>
      </c>
      <c r="B82" s="141">
        <f t="shared" ref="B82:B84" si="34">SUM(C82:J82)</f>
        <v>387658787</v>
      </c>
      <c r="C82" s="154">
        <v>82332147</v>
      </c>
      <c r="D82" s="155">
        <v>18255265</v>
      </c>
      <c r="E82" s="155">
        <v>117343983</v>
      </c>
      <c r="F82" s="155">
        <v>41796090</v>
      </c>
      <c r="G82" s="155">
        <v>19252282</v>
      </c>
      <c r="H82" s="155">
        <v>43090284</v>
      </c>
      <c r="I82" s="155">
        <v>35927613</v>
      </c>
      <c r="J82" s="141">
        <v>29661123</v>
      </c>
      <c r="K82" s="66"/>
      <c r="L82" s="13">
        <f t="shared" si="26"/>
        <v>0.21238302796422875</v>
      </c>
      <c r="M82" s="60">
        <f t="shared" si="27"/>
        <v>4.7091064648045758E-2</v>
      </c>
      <c r="N82" s="13">
        <f t="shared" si="28"/>
        <v>0.3026991440284314</v>
      </c>
      <c r="O82" s="60">
        <f t="shared" si="29"/>
        <v>0.10781669705838501</v>
      </c>
      <c r="P82" s="13">
        <f t="shared" si="30"/>
        <v>4.9662957852674702E-2</v>
      </c>
      <c r="Q82" s="60">
        <f t="shared" si="31"/>
        <v>0.11115518452055621</v>
      </c>
      <c r="R82" s="13">
        <f t="shared" si="32"/>
        <v>9.2678443530289437E-2</v>
      </c>
      <c r="S82" s="13">
        <f t="shared" si="33"/>
        <v>7.6513480397388742E-2</v>
      </c>
    </row>
    <row r="83" spans="1:20" x14ac:dyDescent="0.35">
      <c r="A83" s="7">
        <v>42644</v>
      </c>
      <c r="B83" s="141">
        <f t="shared" si="34"/>
        <v>364382608.19</v>
      </c>
      <c r="C83" s="154">
        <v>79217647.449999988</v>
      </c>
      <c r="D83" s="155">
        <v>16619822.33</v>
      </c>
      <c r="E83" s="155">
        <v>110968470.67</v>
      </c>
      <c r="F83" s="155">
        <v>43050262.569999993</v>
      </c>
      <c r="G83" s="155">
        <v>17208446.48</v>
      </c>
      <c r="H83" s="155">
        <v>39314871.460000001</v>
      </c>
      <c r="I83" s="155">
        <v>31333940.41</v>
      </c>
      <c r="J83" s="141">
        <v>26669146.82</v>
      </c>
      <c r="L83" s="13">
        <f t="shared" si="26"/>
        <v>0.21740238329018582</v>
      </c>
      <c r="M83" s="60">
        <f t="shared" si="27"/>
        <v>4.5610909951371577E-2</v>
      </c>
      <c r="N83" s="13">
        <f t="shared" si="28"/>
        <v>0.30453832915136753</v>
      </c>
      <c r="O83" s="60">
        <f t="shared" si="29"/>
        <v>0.11814576657169186</v>
      </c>
      <c r="P83" s="13">
        <f t="shared" si="30"/>
        <v>4.7226311281648767E-2</v>
      </c>
      <c r="Q83" s="60">
        <f t="shared" si="31"/>
        <v>0.10789447843103436</v>
      </c>
      <c r="R83" s="13">
        <f t="shared" si="32"/>
        <v>8.5991865982971247E-2</v>
      </c>
      <c r="S83" s="13">
        <f t="shared" si="33"/>
        <v>7.3189955339728802E-2</v>
      </c>
    </row>
    <row r="84" spans="1:20" x14ac:dyDescent="0.35">
      <c r="A84" s="7">
        <v>42675</v>
      </c>
      <c r="B84" s="141">
        <f t="shared" si="34"/>
        <v>366004697.66000003</v>
      </c>
      <c r="C84" s="154">
        <v>82304034.230000004</v>
      </c>
      <c r="D84" s="155">
        <v>20254671.759999998</v>
      </c>
      <c r="E84" s="155">
        <v>117322335.91000001</v>
      </c>
      <c r="F84" s="155">
        <v>37957898.839999989</v>
      </c>
      <c r="G84" s="155">
        <v>17491571.960000001</v>
      </c>
      <c r="H84" s="155">
        <v>36576794.420000009</v>
      </c>
      <c r="I84" s="155">
        <v>28238127.090000004</v>
      </c>
      <c r="J84" s="141">
        <v>25859263.449999999</v>
      </c>
      <c r="L84" s="13">
        <f t="shared" si="26"/>
        <v>0.2248715242077475</v>
      </c>
      <c r="M84" s="60">
        <f t="shared" si="27"/>
        <v>5.5339922928572823E-2</v>
      </c>
      <c r="N84" s="13">
        <f t="shared" si="28"/>
        <v>0.32054871606862972</v>
      </c>
      <c r="O84" s="60">
        <f t="shared" si="29"/>
        <v>0.1037087750039235</v>
      </c>
      <c r="P84" s="13">
        <f t="shared" si="30"/>
        <v>4.7790566820125328E-2</v>
      </c>
      <c r="Q84" s="60">
        <f t="shared" si="31"/>
        <v>9.9935314092547564E-2</v>
      </c>
      <c r="R84" s="13">
        <f t="shared" si="32"/>
        <v>7.7152362443806133E-2</v>
      </c>
      <c r="S84" s="13">
        <f t="shared" si="33"/>
        <v>7.0652818434647408E-2</v>
      </c>
    </row>
    <row r="85" spans="1:20" ht="15" thickBot="1" x14ac:dyDescent="0.4">
      <c r="A85" s="55">
        <v>42705</v>
      </c>
      <c r="B85" s="156">
        <f>SUM(C85:J85)</f>
        <v>463143965.81</v>
      </c>
      <c r="C85" s="157">
        <v>93469603.159999996</v>
      </c>
      <c r="D85" s="158">
        <v>28778266.600000001</v>
      </c>
      <c r="E85" s="158">
        <v>164557967.19</v>
      </c>
      <c r="F85" s="158">
        <v>45000011.960000001</v>
      </c>
      <c r="G85" s="158">
        <v>24678118.109999999</v>
      </c>
      <c r="H85" s="158">
        <v>39376311.810000002</v>
      </c>
      <c r="I85" s="158">
        <v>32213259.600000001</v>
      </c>
      <c r="J85" s="156">
        <v>35070427.380000003</v>
      </c>
      <c r="K85" s="12"/>
      <c r="L85" s="57">
        <f t="shared" ref="L85:S86" si="35">C85/$B85</f>
        <v>0.20181543982016367</v>
      </c>
      <c r="M85" s="61">
        <f t="shared" si="35"/>
        <v>6.2136762485222548E-2</v>
      </c>
      <c r="N85" s="57">
        <f t="shared" si="35"/>
        <v>0.35530629639576949</v>
      </c>
      <c r="O85" s="61">
        <f t="shared" si="35"/>
        <v>9.7162038765416597E-2</v>
      </c>
      <c r="P85" s="57">
        <f t="shared" si="35"/>
        <v>5.3283902915241564E-2</v>
      </c>
      <c r="Q85" s="61">
        <f t="shared" si="35"/>
        <v>8.5019593726400236E-2</v>
      </c>
      <c r="R85" s="57">
        <f t="shared" si="35"/>
        <v>6.9553447692364309E-2</v>
      </c>
      <c r="S85" s="57">
        <f t="shared" si="35"/>
        <v>7.5722518199421565E-2</v>
      </c>
    </row>
    <row r="86" spans="1:20" x14ac:dyDescent="0.35">
      <c r="A86" s="53">
        <v>42736</v>
      </c>
      <c r="B86" s="140">
        <f t="shared" ref="B86:B109" si="36">SUM(C86:J86)</f>
        <v>343249777.99000007</v>
      </c>
      <c r="C86" s="159">
        <v>78545948.400000006</v>
      </c>
      <c r="D86" s="160">
        <v>11801420.48</v>
      </c>
      <c r="E86" s="160">
        <v>101493930.08000001</v>
      </c>
      <c r="F86" s="160">
        <v>41048034.859999999</v>
      </c>
      <c r="G86" s="160">
        <v>17405667.210000001</v>
      </c>
      <c r="H86" s="160">
        <v>36887891.880000003</v>
      </c>
      <c r="I86" s="160">
        <v>29717303.02</v>
      </c>
      <c r="J86" s="140">
        <v>26349582.059999999</v>
      </c>
      <c r="L86" s="65">
        <f t="shared" si="35"/>
        <v>0.22883029629312185</v>
      </c>
      <c r="M86" s="59">
        <f t="shared" si="35"/>
        <v>3.4381436600211909E-2</v>
      </c>
      <c r="N86" s="65">
        <f t="shared" si="35"/>
        <v>0.29568534807022323</v>
      </c>
      <c r="O86" s="59">
        <f t="shared" si="35"/>
        <v>0.11958648626189601</v>
      </c>
      <c r="P86" s="65">
        <f t="shared" si="35"/>
        <v>5.0708458755382158E-2</v>
      </c>
      <c r="Q86" s="59">
        <f t="shared" si="35"/>
        <v>0.10746661540761335</v>
      </c>
      <c r="R86" s="65">
        <f t="shared" si="35"/>
        <v>8.657632116768843E-2</v>
      </c>
      <c r="S86" s="65">
        <f t="shared" si="35"/>
        <v>7.6765037443862941E-2</v>
      </c>
    </row>
    <row r="87" spans="1:20" x14ac:dyDescent="0.35">
      <c r="A87" s="7">
        <v>42767</v>
      </c>
      <c r="B87" s="141">
        <f>SUM(C87:J87)</f>
        <v>332141462.70999998</v>
      </c>
      <c r="C87" s="154">
        <v>79226832.770000011</v>
      </c>
      <c r="D87" s="155">
        <v>14604233.110000001</v>
      </c>
      <c r="E87" s="155">
        <v>100376550.7</v>
      </c>
      <c r="F87" s="155">
        <v>37620884.509999998</v>
      </c>
      <c r="G87" s="155">
        <v>15705786.949999999</v>
      </c>
      <c r="H87" s="155">
        <v>33209268.719999995</v>
      </c>
      <c r="I87" s="155">
        <v>28194905.960000001</v>
      </c>
      <c r="J87" s="141">
        <v>23202999.990000002</v>
      </c>
      <c r="L87" s="13">
        <f>C87/$B87</f>
        <v>0.23853340117061717</v>
      </c>
      <c r="M87" s="60">
        <f t="shared" ref="M87" si="37">D87/$B87</f>
        <v>4.3969918693202353E-2</v>
      </c>
      <c r="N87" s="13">
        <f t="shared" ref="N87" si="38">E87/$B87</f>
        <v>0.30221023861643248</v>
      </c>
      <c r="O87" s="60">
        <f t="shared" ref="O87" si="39">F87/$B87</f>
        <v>0.11326765470063466</v>
      </c>
      <c r="P87" s="13">
        <f t="shared" ref="P87" si="40">G87/$B87</f>
        <v>4.7286438801869994E-2</v>
      </c>
      <c r="Q87" s="60">
        <f t="shared" ref="Q87" si="41">H87/$B87</f>
        <v>9.9985314838562447E-2</v>
      </c>
      <c r="R87" s="13">
        <f t="shared" ref="R87" si="42">I87/$B87</f>
        <v>8.4888245297509254E-2</v>
      </c>
      <c r="S87" s="13">
        <f t="shared" ref="S87" si="43">J87/$B87</f>
        <v>6.9858787881171738E-2</v>
      </c>
    </row>
    <row r="88" spans="1:20" x14ac:dyDescent="0.35">
      <c r="A88" s="7">
        <v>42795</v>
      </c>
      <c r="B88" s="141">
        <f>SUM(C88:J88)</f>
        <v>405259933.43000001</v>
      </c>
      <c r="C88" s="154">
        <v>88064252.109999999</v>
      </c>
      <c r="D88" s="155">
        <v>19918888.91</v>
      </c>
      <c r="E88" s="155">
        <v>122272206.21000001</v>
      </c>
      <c r="F88" s="155">
        <v>47173050.689999998</v>
      </c>
      <c r="G88" s="155">
        <v>24240794.309999995</v>
      </c>
      <c r="H88" s="155">
        <v>40912661.909999996</v>
      </c>
      <c r="I88" s="155">
        <v>30846709.799999993</v>
      </c>
      <c r="J88" s="141">
        <v>31831369.490000002</v>
      </c>
      <c r="L88" s="13">
        <f>C88/$B88</f>
        <v>0.217303130276537</v>
      </c>
      <c r="M88" s="60">
        <f>D88/$B88</f>
        <v>4.9150896170298469E-2</v>
      </c>
      <c r="N88" s="13">
        <f t="shared" ref="N88" si="44">E88/$B88</f>
        <v>0.3017130392711766</v>
      </c>
      <c r="O88" s="60">
        <f t="shared" ref="O88" si="45">F88/$B88</f>
        <v>0.11640196031900137</v>
      </c>
      <c r="P88" s="13">
        <f t="shared" ref="P88" si="46">G88/$B88</f>
        <v>5.981542291840472E-2</v>
      </c>
      <c r="Q88" s="60">
        <f t="shared" ref="Q88" si="47">H88/$B88</f>
        <v>0.10095412483471373</v>
      </c>
      <c r="R88" s="13">
        <f t="shared" ref="R88" si="48">I88/$B88</f>
        <v>7.6115863561745614E-2</v>
      </c>
      <c r="S88" s="13">
        <f t="shared" ref="S88" si="49">J88/$B88</f>
        <v>7.8545562648122458E-2</v>
      </c>
      <c r="T88" s="17"/>
    </row>
    <row r="89" spans="1:20" x14ac:dyDescent="0.35">
      <c r="A89" s="7">
        <v>42826</v>
      </c>
      <c r="B89" s="141">
        <f t="shared" si="36"/>
        <v>354710087.62</v>
      </c>
      <c r="C89" s="154">
        <v>83607164.140000001</v>
      </c>
      <c r="D89" s="155">
        <v>16706653.560000001</v>
      </c>
      <c r="E89" s="155">
        <v>105679220.16999999</v>
      </c>
      <c r="F89" s="155">
        <v>38522211.600000001</v>
      </c>
      <c r="G89" s="155">
        <v>15777323.969999999</v>
      </c>
      <c r="H89" s="155">
        <v>38034362.629999995</v>
      </c>
      <c r="I89" s="155">
        <v>28209526.990000002</v>
      </c>
      <c r="J89" s="141">
        <v>28173624.559999999</v>
      </c>
      <c r="L89" s="13">
        <f t="shared" ref="L89:L98" si="50">C89/$B89</f>
        <v>0.23570562850630891</v>
      </c>
      <c r="M89" s="60">
        <f t="shared" ref="M89:M99" si="51">D89/$B89</f>
        <v>4.7099459933876466E-2</v>
      </c>
      <c r="N89" s="13">
        <f t="shared" ref="N89:N100" si="52">E89/$B89</f>
        <v>0.2979312510649933</v>
      </c>
      <c r="O89" s="60">
        <f t="shared" ref="O89:O100" si="53">F89/$B89</f>
        <v>0.10860196240392449</v>
      </c>
      <c r="P89" s="13">
        <f t="shared" ref="P89:P100" si="54">G89/$B89</f>
        <v>4.4479490492816784E-2</v>
      </c>
      <c r="Q89" s="60">
        <f t="shared" ref="Q89:Q100" si="55">H89/$B89</f>
        <v>0.10722661677089407</v>
      </c>
      <c r="R89" s="13">
        <f t="shared" ref="R89:R100" si="56">I89/$B89</f>
        <v>7.9528403545773396E-2</v>
      </c>
      <c r="S89" s="13">
        <f t="shared" ref="S89:S100" si="57">J89/$B89</f>
        <v>7.9427187281412556E-2</v>
      </c>
      <c r="T89" s="17"/>
    </row>
    <row r="90" spans="1:20" x14ac:dyDescent="0.35">
      <c r="A90" s="7">
        <v>42856</v>
      </c>
      <c r="B90" s="141">
        <f t="shared" si="36"/>
        <v>372737880.28000003</v>
      </c>
      <c r="C90" s="154">
        <v>85732633.560000002</v>
      </c>
      <c r="D90" s="155">
        <v>15227824.950000001</v>
      </c>
      <c r="E90" s="155">
        <v>108863191</v>
      </c>
      <c r="F90" s="155">
        <v>43582187.989999995</v>
      </c>
      <c r="G90" s="155">
        <v>17739953</v>
      </c>
      <c r="H90" s="155">
        <v>36183622.430000007</v>
      </c>
      <c r="I90" s="155">
        <v>29194363.98</v>
      </c>
      <c r="J90" s="141">
        <v>36214103.370000005</v>
      </c>
      <c r="L90" s="13">
        <f t="shared" si="50"/>
        <v>0.23000783686272455</v>
      </c>
      <c r="M90" s="60">
        <f t="shared" si="51"/>
        <v>4.0853977434654312E-2</v>
      </c>
      <c r="N90" s="13">
        <f t="shared" si="52"/>
        <v>0.29206366392978939</v>
      </c>
      <c r="O90" s="60">
        <f t="shared" si="53"/>
        <v>0.11692449384876347</v>
      </c>
      <c r="P90" s="13">
        <f t="shared" si="54"/>
        <v>4.7593641372521027E-2</v>
      </c>
      <c r="Q90" s="60">
        <f t="shared" si="55"/>
        <v>9.7075248705119355E-2</v>
      </c>
      <c r="R90" s="13">
        <f t="shared" si="56"/>
        <v>7.8324113336882328E-2</v>
      </c>
      <c r="S90" s="13">
        <f t="shared" si="57"/>
        <v>9.7157024509545512E-2</v>
      </c>
    </row>
    <row r="91" spans="1:20" x14ac:dyDescent="0.35">
      <c r="A91" s="7">
        <v>42887</v>
      </c>
      <c r="B91" s="141">
        <f t="shared" si="36"/>
        <v>377312185</v>
      </c>
      <c r="C91" s="154">
        <v>82539556</v>
      </c>
      <c r="D91" s="155">
        <v>16507485</v>
      </c>
      <c r="E91" s="155">
        <v>111551983</v>
      </c>
      <c r="F91" s="155">
        <v>46762846</v>
      </c>
      <c r="G91" s="155">
        <v>19658258</v>
      </c>
      <c r="H91" s="155">
        <v>40095638</v>
      </c>
      <c r="I91" s="155">
        <v>28921757</v>
      </c>
      <c r="J91" s="141">
        <v>31274662</v>
      </c>
      <c r="L91" s="13">
        <f t="shared" si="50"/>
        <v>0.21875666697591545</v>
      </c>
      <c r="M91" s="60">
        <f t="shared" si="51"/>
        <v>4.3750203826574005E-2</v>
      </c>
      <c r="N91" s="13">
        <f t="shared" si="52"/>
        <v>0.29564903396904607</v>
      </c>
      <c r="O91" s="60">
        <f t="shared" si="53"/>
        <v>0.12393675014762642</v>
      </c>
      <c r="P91" s="13">
        <f t="shared" si="54"/>
        <v>5.2100776973317199E-2</v>
      </c>
      <c r="Q91" s="60">
        <f t="shared" si="55"/>
        <v>0.10626648063327189</v>
      </c>
      <c r="R91" s="13">
        <f t="shared" si="56"/>
        <v>7.6652062005365659E-2</v>
      </c>
      <c r="S91" s="13">
        <f t="shared" si="57"/>
        <v>8.2888025468883283E-2</v>
      </c>
    </row>
    <row r="92" spans="1:20" x14ac:dyDescent="0.35">
      <c r="A92" s="7">
        <v>42917</v>
      </c>
      <c r="B92" s="141">
        <f t="shared" si="36"/>
        <v>342120909</v>
      </c>
      <c r="C92" s="154">
        <v>79859905</v>
      </c>
      <c r="D92" s="155">
        <v>15672370</v>
      </c>
      <c r="E92" s="155">
        <v>101331074</v>
      </c>
      <c r="F92" s="155">
        <v>37950002</v>
      </c>
      <c r="G92" s="155">
        <v>17478226</v>
      </c>
      <c r="H92" s="155">
        <v>35428335</v>
      </c>
      <c r="I92" s="155">
        <v>27457181</v>
      </c>
      <c r="J92" s="141">
        <v>26943816</v>
      </c>
      <c r="L92" s="13">
        <f t="shared" si="50"/>
        <v>0.23342596988130884</v>
      </c>
      <c r="M92" s="60">
        <f t="shared" si="51"/>
        <v>4.580944802762698E-2</v>
      </c>
      <c r="N92" s="13">
        <f t="shared" si="52"/>
        <v>0.29618497827620349</v>
      </c>
      <c r="O92" s="60">
        <f t="shared" si="53"/>
        <v>0.11092570200086777</v>
      </c>
      <c r="P92" s="13">
        <f t="shared" si="54"/>
        <v>5.1087862624613803E-2</v>
      </c>
      <c r="Q92" s="60">
        <f t="shared" si="55"/>
        <v>0.10355501247659786</v>
      </c>
      <c r="R92" s="13">
        <f t="shared" si="56"/>
        <v>8.0255781735924236E-2</v>
      </c>
      <c r="S92" s="13">
        <f t="shared" si="57"/>
        <v>7.8755244976857E-2</v>
      </c>
    </row>
    <row r="93" spans="1:20" x14ac:dyDescent="0.35">
      <c r="A93" s="7">
        <v>42948</v>
      </c>
      <c r="B93" s="141">
        <f t="shared" si="36"/>
        <v>357357190</v>
      </c>
      <c r="C93" s="154">
        <v>79893238</v>
      </c>
      <c r="D93" s="155">
        <v>14765413</v>
      </c>
      <c r="E93" s="155">
        <v>106753558</v>
      </c>
      <c r="F93" s="155">
        <v>48301188</v>
      </c>
      <c r="G93" s="155">
        <v>19584497</v>
      </c>
      <c r="H93" s="155">
        <v>34404091</v>
      </c>
      <c r="I93" s="155">
        <v>26524108</v>
      </c>
      <c r="J93" s="141">
        <v>27131097</v>
      </c>
      <c r="L93" s="13">
        <f t="shared" si="50"/>
        <v>0.22356689675111896</v>
      </c>
      <c r="M93" s="60">
        <f t="shared" si="51"/>
        <v>4.1318359930018478E-2</v>
      </c>
      <c r="N93" s="13">
        <f t="shared" si="52"/>
        <v>0.29873068455681556</v>
      </c>
      <c r="O93" s="60">
        <f t="shared" si="53"/>
        <v>0.13516221123184902</v>
      </c>
      <c r="P93" s="13">
        <f t="shared" si="54"/>
        <v>5.4803702144624544E-2</v>
      </c>
      <c r="Q93" s="60">
        <f t="shared" si="55"/>
        <v>9.6273677885143433E-2</v>
      </c>
      <c r="R93" s="13">
        <f t="shared" si="56"/>
        <v>7.4222958827273075E-2</v>
      </c>
      <c r="S93" s="13">
        <f t="shared" si="57"/>
        <v>7.5921508673156959E-2</v>
      </c>
    </row>
    <row r="94" spans="1:20" x14ac:dyDescent="0.35">
      <c r="A94" s="7">
        <v>42979</v>
      </c>
      <c r="B94" s="141">
        <f t="shared" si="36"/>
        <v>357855886</v>
      </c>
      <c r="C94" s="154">
        <v>80645450</v>
      </c>
      <c r="D94" s="155">
        <v>16124956</v>
      </c>
      <c r="E94" s="155">
        <v>110055791</v>
      </c>
      <c r="F94" s="155">
        <v>40907920</v>
      </c>
      <c r="G94" s="155">
        <v>18006894</v>
      </c>
      <c r="H94" s="155">
        <v>36388471</v>
      </c>
      <c r="I94" s="155">
        <v>27127081</v>
      </c>
      <c r="J94" s="141">
        <v>28599323</v>
      </c>
      <c r="K94" s="66"/>
      <c r="L94" s="13">
        <f t="shared" si="50"/>
        <v>0.22535733840074382</v>
      </c>
      <c r="M94" s="60">
        <f t="shared" si="51"/>
        <v>4.5059915543767246E-2</v>
      </c>
      <c r="N94" s="13">
        <f t="shared" si="52"/>
        <v>0.30754221267720044</v>
      </c>
      <c r="O94" s="60">
        <f t="shared" si="53"/>
        <v>0.11431395039286849</v>
      </c>
      <c r="P94" s="13">
        <f t="shared" si="54"/>
        <v>5.0318842596877113E-2</v>
      </c>
      <c r="Q94" s="60">
        <f t="shared" si="55"/>
        <v>0.10168470723435299</v>
      </c>
      <c r="R94" s="13">
        <f t="shared" si="56"/>
        <v>7.5804484601938338E-2</v>
      </c>
      <c r="S94" s="13">
        <f t="shared" si="57"/>
        <v>7.9918548552251556E-2</v>
      </c>
    </row>
    <row r="95" spans="1:20" x14ac:dyDescent="0.35">
      <c r="A95" s="7">
        <v>43009</v>
      </c>
      <c r="B95" s="141">
        <f t="shared" si="36"/>
        <v>346120965</v>
      </c>
      <c r="C95" s="154">
        <v>81900576</v>
      </c>
      <c r="D95" s="155">
        <v>14010185</v>
      </c>
      <c r="E95" s="155">
        <v>103625766</v>
      </c>
      <c r="F95" s="155">
        <v>40052791</v>
      </c>
      <c r="G95" s="155">
        <v>18429319</v>
      </c>
      <c r="H95" s="155">
        <v>34055302</v>
      </c>
      <c r="I95" s="155">
        <v>26535828</v>
      </c>
      <c r="J95" s="141">
        <v>27511198</v>
      </c>
      <c r="L95" s="13">
        <f t="shared" si="50"/>
        <v>0.23662414092714668</v>
      </c>
      <c r="M95" s="60">
        <f t="shared" si="51"/>
        <v>4.0477712755712443E-2</v>
      </c>
      <c r="N95" s="13">
        <f t="shared" si="52"/>
        <v>0.29939176322358863</v>
      </c>
      <c r="O95" s="60">
        <f t="shared" si="53"/>
        <v>0.11571905504192732</v>
      </c>
      <c r="P95" s="13">
        <f t="shared" si="54"/>
        <v>5.324531266113857E-2</v>
      </c>
      <c r="Q95" s="60">
        <f t="shared" si="55"/>
        <v>9.8391329747968312E-2</v>
      </c>
      <c r="R95" s="13">
        <f t="shared" si="56"/>
        <v>7.6666341202417485E-2</v>
      </c>
      <c r="S95" s="13">
        <f t="shared" si="57"/>
        <v>7.9484344440100593E-2</v>
      </c>
    </row>
    <row r="96" spans="1:20" x14ac:dyDescent="0.35">
      <c r="A96" s="7">
        <v>43040</v>
      </c>
      <c r="B96" s="141">
        <f t="shared" si="36"/>
        <v>350948826</v>
      </c>
      <c r="C96" s="154">
        <v>78053736</v>
      </c>
      <c r="D96" s="155">
        <v>16854770</v>
      </c>
      <c r="E96" s="155">
        <v>115843766</v>
      </c>
      <c r="F96" s="155">
        <v>39086076</v>
      </c>
      <c r="G96" s="155">
        <v>19998235</v>
      </c>
      <c r="H96" s="155">
        <v>30913291</v>
      </c>
      <c r="I96" s="155">
        <v>23900951</v>
      </c>
      <c r="J96" s="141">
        <v>26298001</v>
      </c>
      <c r="L96" s="13">
        <f t="shared" si="50"/>
        <v>0.22240774214756884</v>
      </c>
      <c r="M96" s="60">
        <f t="shared" si="51"/>
        <v>4.8026289736042602E-2</v>
      </c>
      <c r="N96" s="13">
        <f t="shared" si="52"/>
        <v>0.33008734441527948</v>
      </c>
      <c r="O96" s="60">
        <f t="shared" si="53"/>
        <v>0.11137257943128152</v>
      </c>
      <c r="P96" s="13">
        <f t="shared" si="54"/>
        <v>5.698333636824874E-2</v>
      </c>
      <c r="Q96" s="60">
        <f t="shared" si="55"/>
        <v>8.8084896457240172E-2</v>
      </c>
      <c r="R96" s="13">
        <f t="shared" si="56"/>
        <v>6.8103806678640952E-2</v>
      </c>
      <c r="S96" s="13">
        <f t="shared" si="57"/>
        <v>7.4934004765697657E-2</v>
      </c>
    </row>
    <row r="97" spans="1:19" ht="15" thickBot="1" x14ac:dyDescent="0.4">
      <c r="A97" s="15">
        <v>43070</v>
      </c>
      <c r="B97" s="142">
        <f t="shared" si="36"/>
        <v>436634489</v>
      </c>
      <c r="C97" s="161">
        <v>92268348</v>
      </c>
      <c r="D97" s="162">
        <v>25795959</v>
      </c>
      <c r="E97" s="162">
        <v>161574091</v>
      </c>
      <c r="F97" s="162">
        <v>39179345</v>
      </c>
      <c r="G97" s="162">
        <v>22376228</v>
      </c>
      <c r="H97" s="162">
        <v>32743372</v>
      </c>
      <c r="I97" s="162">
        <v>25940652</v>
      </c>
      <c r="J97" s="142">
        <v>36756494</v>
      </c>
      <c r="K97" s="12"/>
      <c r="L97" s="57">
        <f t="shared" si="50"/>
        <v>0.21131713211962969</v>
      </c>
      <c r="M97" s="61">
        <f t="shared" si="51"/>
        <v>5.9079068763164058E-2</v>
      </c>
      <c r="N97" s="57">
        <f t="shared" si="52"/>
        <v>0.37004427059814782</v>
      </c>
      <c r="O97" s="61">
        <f t="shared" si="53"/>
        <v>8.9730303004076251E-2</v>
      </c>
      <c r="P97" s="57">
        <f t="shared" si="54"/>
        <v>5.1247046588662859E-2</v>
      </c>
      <c r="Q97" s="61">
        <f t="shared" si="55"/>
        <v>7.4990347361222759E-2</v>
      </c>
      <c r="R97" s="57">
        <f t="shared" si="56"/>
        <v>5.9410451197775174E-2</v>
      </c>
      <c r="S97" s="57">
        <f t="shared" si="57"/>
        <v>8.4181380367321368E-2</v>
      </c>
    </row>
    <row r="98" spans="1:19" x14ac:dyDescent="0.35">
      <c r="A98" s="53">
        <v>43101</v>
      </c>
      <c r="B98" s="140">
        <f t="shared" si="36"/>
        <v>329089709.81000006</v>
      </c>
      <c r="C98" s="159">
        <v>78667459.070000008</v>
      </c>
      <c r="D98" s="160">
        <v>12246103.82</v>
      </c>
      <c r="E98" s="160">
        <v>92673426</v>
      </c>
      <c r="F98" s="160">
        <v>41704296.460000001</v>
      </c>
      <c r="G98" s="160">
        <v>18794934.289999999</v>
      </c>
      <c r="H98" s="160">
        <v>28579174.979999997</v>
      </c>
      <c r="I98" s="160">
        <v>23747360.469999999</v>
      </c>
      <c r="J98" s="140">
        <v>32676954.719999999</v>
      </c>
      <c r="L98" s="56">
        <f t="shared" si="50"/>
        <v>0.23904563626562089</v>
      </c>
      <c r="M98" s="126">
        <f t="shared" si="51"/>
        <v>3.7212053294131527E-2</v>
      </c>
      <c r="N98" s="56">
        <f t="shared" si="52"/>
        <v>0.28160535938211195</v>
      </c>
      <c r="O98" s="126">
        <f t="shared" si="53"/>
        <v>0.12672622454247498</v>
      </c>
      <c r="P98" s="56">
        <f t="shared" si="54"/>
        <v>5.7111886910263025E-2</v>
      </c>
      <c r="Q98" s="126">
        <f t="shared" si="55"/>
        <v>8.6843113376289346E-2</v>
      </c>
      <c r="R98" s="56">
        <f t="shared" si="56"/>
        <v>7.2160750585943678E-2</v>
      </c>
      <c r="S98" s="56">
        <f t="shared" si="57"/>
        <v>9.9294975643164404E-2</v>
      </c>
    </row>
    <row r="99" spans="1:19" x14ac:dyDescent="0.35">
      <c r="A99" s="7">
        <v>43132</v>
      </c>
      <c r="B99" s="141">
        <f t="shared" si="36"/>
        <v>322936906</v>
      </c>
      <c r="C99" s="154">
        <v>74580994</v>
      </c>
      <c r="D99" s="155">
        <v>13529492</v>
      </c>
      <c r="E99" s="155">
        <v>98296296</v>
      </c>
      <c r="F99" s="155">
        <v>38246542</v>
      </c>
      <c r="G99" s="155">
        <v>17610158</v>
      </c>
      <c r="H99" s="155">
        <v>28988313</v>
      </c>
      <c r="I99" s="155">
        <v>23675553</v>
      </c>
      <c r="J99" s="141">
        <v>28009558</v>
      </c>
      <c r="L99" s="13">
        <f>C99/$B99</f>
        <v>0.23094602262647554</v>
      </c>
      <c r="M99" s="60">
        <f t="shared" si="51"/>
        <v>4.1895155829603445E-2</v>
      </c>
      <c r="N99" s="13">
        <f t="shared" si="52"/>
        <v>0.30438235510932898</v>
      </c>
      <c r="O99" s="60">
        <f t="shared" si="53"/>
        <v>0.11843348124478532</v>
      </c>
      <c r="P99" s="13">
        <f t="shared" si="54"/>
        <v>5.4531265001962953E-2</v>
      </c>
      <c r="Q99" s="60">
        <f t="shared" si="55"/>
        <v>8.9764633466823396E-2</v>
      </c>
      <c r="R99" s="13">
        <f t="shared" si="56"/>
        <v>7.3313246520049336E-2</v>
      </c>
      <c r="S99" s="13">
        <f t="shared" si="57"/>
        <v>8.6733840200971024E-2</v>
      </c>
    </row>
    <row r="100" spans="1:19" x14ac:dyDescent="0.35">
      <c r="A100" s="7">
        <v>43160</v>
      </c>
      <c r="B100" s="141">
        <f t="shared" si="36"/>
        <v>409494677.39000005</v>
      </c>
      <c r="C100" s="154">
        <v>89009915.329999998</v>
      </c>
      <c r="D100" s="155">
        <v>19391281.549999997</v>
      </c>
      <c r="E100" s="155">
        <v>127864708.09</v>
      </c>
      <c r="F100" s="155">
        <v>46290130.130000003</v>
      </c>
      <c r="G100" s="155">
        <v>22117547.879999999</v>
      </c>
      <c r="H100" s="155">
        <v>43760123.080000006</v>
      </c>
      <c r="I100" s="155">
        <v>25551836.289999992</v>
      </c>
      <c r="J100" s="141">
        <v>35509135.039999999</v>
      </c>
      <c r="L100" s="13">
        <f>C100/$B100</f>
        <v>0.21736525587419916</v>
      </c>
      <c r="M100" s="60">
        <f>D100/$B100</f>
        <v>4.7354172399979369E-2</v>
      </c>
      <c r="N100" s="13">
        <f t="shared" si="52"/>
        <v>0.31224998797291448</v>
      </c>
      <c r="O100" s="60">
        <f t="shared" si="53"/>
        <v>0.11304208011942872</v>
      </c>
      <c r="P100" s="13">
        <f t="shared" si="54"/>
        <v>5.4011807970181236E-2</v>
      </c>
      <c r="Q100" s="60">
        <f t="shared" si="55"/>
        <v>0.10686371641974518</v>
      </c>
      <c r="R100" s="13">
        <f t="shared" si="56"/>
        <v>6.2398457662160504E-2</v>
      </c>
      <c r="S100" s="13">
        <f t="shared" si="57"/>
        <v>8.671452158139123E-2</v>
      </c>
    </row>
    <row r="101" spans="1:19" x14ac:dyDescent="0.35">
      <c r="A101" s="7">
        <v>43191</v>
      </c>
      <c r="B101" s="141">
        <f t="shared" si="36"/>
        <v>362151173.26999998</v>
      </c>
      <c r="C101" s="154">
        <v>95576170.320000008</v>
      </c>
      <c r="D101" s="155">
        <v>14062745.170000002</v>
      </c>
      <c r="E101" s="155">
        <v>98733525.629999995</v>
      </c>
      <c r="F101" s="155">
        <v>39360896.240000002</v>
      </c>
      <c r="G101" s="155">
        <v>18807190.219999999</v>
      </c>
      <c r="H101" s="155">
        <v>36938672.240000002</v>
      </c>
      <c r="I101" s="155">
        <v>26837033.420000002</v>
      </c>
      <c r="J101" s="141">
        <v>31834940.029999997</v>
      </c>
      <c r="L101" s="13">
        <f t="shared" ref="L101:L110" si="58">C101/$B101</f>
        <v>0.26391235863467349</v>
      </c>
      <c r="M101" s="60">
        <f t="shared" ref="M101:M110" si="59">D101/$B101</f>
        <v>3.8831146239351244E-2</v>
      </c>
      <c r="N101" s="13">
        <f t="shared" ref="N101:N110" si="60">E101/$B101</f>
        <v>0.27263069380252902</v>
      </c>
      <c r="O101" s="60">
        <f t="shared" ref="O101:O110" si="61">F101/$B101</f>
        <v>0.10868636951965549</v>
      </c>
      <c r="P101" s="13">
        <f t="shared" ref="P101:P110" si="62">G101/$B101</f>
        <v>5.1931877094813089E-2</v>
      </c>
      <c r="Q101" s="60">
        <f t="shared" ref="Q101:Q110" si="63">H101/$B101</f>
        <v>0.1019979361283487</v>
      </c>
      <c r="R101" s="13">
        <f t="shared" ref="R101:R110" si="64">I101/$B101</f>
        <v>7.4104504971441262E-2</v>
      </c>
      <c r="S101" s="13">
        <f t="shared" ref="S101:S110" si="65">J101/$B101</f>
        <v>8.7905113609187777E-2</v>
      </c>
    </row>
    <row r="102" spans="1:19" x14ac:dyDescent="0.35">
      <c r="A102" s="7">
        <v>43221</v>
      </c>
      <c r="B102" s="141">
        <f t="shared" si="36"/>
        <v>369043473.34999996</v>
      </c>
      <c r="C102" s="154">
        <v>78972253.980000004</v>
      </c>
      <c r="D102" s="155">
        <v>15210914.92</v>
      </c>
      <c r="E102" s="155">
        <v>109778373.13</v>
      </c>
      <c r="F102" s="155">
        <v>46869212.259999998</v>
      </c>
      <c r="G102" s="155">
        <v>20444998.48</v>
      </c>
      <c r="H102" s="155">
        <v>42217418.659999996</v>
      </c>
      <c r="I102" s="155">
        <v>24589382.18</v>
      </c>
      <c r="J102" s="141">
        <v>30960919.739999998</v>
      </c>
      <c r="L102" s="13">
        <f t="shared" si="58"/>
        <v>0.21399173724203194</v>
      </c>
      <c r="M102" s="60">
        <f t="shared" si="59"/>
        <v>4.121713569927845E-2</v>
      </c>
      <c r="N102" s="13">
        <f t="shared" si="60"/>
        <v>0.29746732040397433</v>
      </c>
      <c r="O102" s="60">
        <f t="shared" si="61"/>
        <v>0.12700187279981875</v>
      </c>
      <c r="P102" s="13">
        <f t="shared" si="62"/>
        <v>5.5399973055776042E-2</v>
      </c>
      <c r="Q102" s="60">
        <f t="shared" si="63"/>
        <v>0.1143968711240724</v>
      </c>
      <c r="R102" s="13">
        <f t="shared" si="64"/>
        <v>6.6630042137825557E-2</v>
      </c>
      <c r="S102" s="13">
        <f t="shared" si="65"/>
        <v>8.3895047537222628E-2</v>
      </c>
    </row>
    <row r="103" spans="1:19" x14ac:dyDescent="0.35">
      <c r="A103" s="7">
        <v>43252</v>
      </c>
      <c r="B103" s="141">
        <f t="shared" si="36"/>
        <v>373536047.29900002</v>
      </c>
      <c r="C103" s="154">
        <v>74742956.789000005</v>
      </c>
      <c r="D103" s="155">
        <v>15213959.120000001</v>
      </c>
      <c r="E103" s="155">
        <v>111301753.37</v>
      </c>
      <c r="F103" s="155">
        <v>46126666.700000003</v>
      </c>
      <c r="G103" s="155">
        <v>23123223.100000001</v>
      </c>
      <c r="H103" s="155">
        <v>41248503.329999998</v>
      </c>
      <c r="I103" s="155">
        <v>32689037.760000002</v>
      </c>
      <c r="J103" s="141">
        <v>29089947.130000003</v>
      </c>
      <c r="L103" s="13">
        <f t="shared" si="58"/>
        <v>0.20009569981119221</v>
      </c>
      <c r="M103" s="60">
        <f t="shared" si="59"/>
        <v>4.0729560721142026E-2</v>
      </c>
      <c r="N103" s="13">
        <f t="shared" si="60"/>
        <v>0.29796790477066754</v>
      </c>
      <c r="O103" s="60">
        <f t="shared" si="61"/>
        <v>0.12348652033327731</v>
      </c>
      <c r="P103" s="13">
        <f t="shared" si="62"/>
        <v>6.1903592082214291E-2</v>
      </c>
      <c r="Q103" s="60">
        <f t="shared" si="63"/>
        <v>0.11042710235936692</v>
      </c>
      <c r="R103" s="13">
        <f t="shared" si="64"/>
        <v>8.7512404750146613E-2</v>
      </c>
      <c r="S103" s="13">
        <f t="shared" si="65"/>
        <v>7.7877215171993058E-2</v>
      </c>
    </row>
    <row r="104" spans="1:19" x14ac:dyDescent="0.35">
      <c r="A104" s="7">
        <v>43282</v>
      </c>
      <c r="B104" s="141">
        <f t="shared" si="36"/>
        <v>355006354.76999998</v>
      </c>
      <c r="C104" s="154">
        <v>76453780.88000001</v>
      </c>
      <c r="D104" s="155">
        <v>14927068.25</v>
      </c>
      <c r="E104" s="155">
        <v>103518706.88</v>
      </c>
      <c r="F104" s="155">
        <v>51696227.039999999</v>
      </c>
      <c r="G104" s="155">
        <v>17421936.100000001</v>
      </c>
      <c r="H104" s="155">
        <v>32996964.989999998</v>
      </c>
      <c r="I104" s="155">
        <v>29917955.220000003</v>
      </c>
      <c r="J104" s="141">
        <v>28073715.409999996</v>
      </c>
      <c r="L104" s="13">
        <f t="shared" si="58"/>
        <v>0.21535890795400708</v>
      </c>
      <c r="M104" s="60">
        <f t="shared" si="59"/>
        <v>4.2047326898333653E-2</v>
      </c>
      <c r="N104" s="13">
        <f t="shared" si="60"/>
        <v>0.29159677140728157</v>
      </c>
      <c r="O104" s="60">
        <f t="shared" si="61"/>
        <v>0.14562056804164178</v>
      </c>
      <c r="P104" s="13">
        <f t="shared" si="62"/>
        <v>4.9074997858241869E-2</v>
      </c>
      <c r="Q104" s="60">
        <f t="shared" si="63"/>
        <v>9.2947533323390605E-2</v>
      </c>
      <c r="R104" s="13">
        <f t="shared" si="64"/>
        <v>8.4274421620940052E-2</v>
      </c>
      <c r="S104" s="13">
        <f t="shared" si="65"/>
        <v>7.9079472896163447E-2</v>
      </c>
    </row>
    <row r="105" spans="1:19" x14ac:dyDescent="0.35">
      <c r="A105" s="7">
        <v>43313</v>
      </c>
      <c r="B105" s="141">
        <f t="shared" si="36"/>
        <v>351670134.87</v>
      </c>
      <c r="C105" s="154">
        <v>81702732</v>
      </c>
      <c r="D105" s="155">
        <v>13473399</v>
      </c>
      <c r="E105" s="155">
        <v>104320063</v>
      </c>
      <c r="F105" s="155">
        <v>45194475</v>
      </c>
      <c r="G105" s="155">
        <v>17856864</v>
      </c>
      <c r="H105" s="155">
        <v>34734479</v>
      </c>
      <c r="I105" s="155">
        <v>25921680</v>
      </c>
      <c r="J105" s="141">
        <v>28466442.870000001</v>
      </c>
      <c r="L105" s="13">
        <f t="shared" si="58"/>
        <v>0.23232775234155897</v>
      </c>
      <c r="M105" s="60">
        <f t="shared" si="59"/>
        <v>3.8312605092214153E-2</v>
      </c>
      <c r="N105" s="13">
        <f t="shared" si="60"/>
        <v>0.29664180337225232</v>
      </c>
      <c r="O105" s="60">
        <f t="shared" si="61"/>
        <v>0.12851382735900163</v>
      </c>
      <c r="P105" s="13">
        <f t="shared" si="62"/>
        <v>5.0777311546802373E-2</v>
      </c>
      <c r="Q105" s="60">
        <f t="shared" si="63"/>
        <v>9.8770056242734702E-2</v>
      </c>
      <c r="R105" s="13">
        <f t="shared" si="64"/>
        <v>7.3710211444546828E-2</v>
      </c>
      <c r="S105" s="13">
        <f t="shared" si="65"/>
        <v>8.0946432600889004E-2</v>
      </c>
    </row>
    <row r="106" spans="1:19" x14ac:dyDescent="0.35">
      <c r="A106" s="7">
        <v>43344</v>
      </c>
      <c r="B106" s="141">
        <f t="shared" si="36"/>
        <v>353145496.17000002</v>
      </c>
      <c r="C106" s="154">
        <v>79075116.820000008</v>
      </c>
      <c r="D106" s="155">
        <v>15793730.27</v>
      </c>
      <c r="E106" s="155">
        <v>105031337.72</v>
      </c>
      <c r="F106" s="155">
        <v>41094340.540000014</v>
      </c>
      <c r="G106" s="155">
        <v>19040413.560000002</v>
      </c>
      <c r="H106" s="155">
        <v>35903413.759999998</v>
      </c>
      <c r="I106" s="155">
        <v>26343860.890000001</v>
      </c>
      <c r="J106" s="141">
        <v>30863282.609999999</v>
      </c>
      <c r="K106" s="66"/>
      <c r="L106" s="13">
        <f t="shared" si="58"/>
        <v>0.2239165377375624</v>
      </c>
      <c r="M106" s="60">
        <f t="shared" si="59"/>
        <v>4.4723012019944004E-2</v>
      </c>
      <c r="N106" s="13">
        <f t="shared" si="60"/>
        <v>0.29741661399934483</v>
      </c>
      <c r="O106" s="60">
        <f t="shared" si="61"/>
        <v>0.11636659956217504</v>
      </c>
      <c r="P106" s="13">
        <f t="shared" si="62"/>
        <v>5.3916625771815524E-2</v>
      </c>
      <c r="Q106" s="60">
        <f t="shared" si="63"/>
        <v>0.10166748308950972</v>
      </c>
      <c r="R106" s="13">
        <f t="shared" si="64"/>
        <v>7.4597754114690398E-2</v>
      </c>
      <c r="S106" s="13">
        <f t="shared" si="65"/>
        <v>8.739537370495809E-2</v>
      </c>
    </row>
    <row r="107" spans="1:19" x14ac:dyDescent="0.35">
      <c r="A107" s="7">
        <v>43374</v>
      </c>
      <c r="B107" s="141">
        <f t="shared" si="36"/>
        <v>366590777.5</v>
      </c>
      <c r="C107" s="154">
        <v>86274297.859999999</v>
      </c>
      <c r="D107" s="155">
        <v>14192940.489999998</v>
      </c>
      <c r="E107" s="155">
        <v>104430714.10999998</v>
      </c>
      <c r="F107" s="155">
        <v>46510580.179999992</v>
      </c>
      <c r="G107" s="155">
        <v>18283686.439999998</v>
      </c>
      <c r="H107" s="155">
        <v>36721995.909999996</v>
      </c>
      <c r="I107" s="155">
        <v>26623992.93</v>
      </c>
      <c r="J107" s="141">
        <v>33552569.579999998</v>
      </c>
      <c r="L107" s="13">
        <f t="shared" si="58"/>
        <v>0.23534224851032975</v>
      </c>
      <c r="M107" s="60">
        <f t="shared" si="59"/>
        <v>3.871603259304579E-2</v>
      </c>
      <c r="N107" s="13">
        <f t="shared" si="60"/>
        <v>0.28486999815482261</v>
      </c>
      <c r="O107" s="60">
        <f t="shared" si="61"/>
        <v>0.12687329587826304</v>
      </c>
      <c r="P107" s="13">
        <f t="shared" si="62"/>
        <v>4.9874922017098471E-2</v>
      </c>
      <c r="Q107" s="60">
        <f t="shared" si="63"/>
        <v>0.10017163050426166</v>
      </c>
      <c r="R107" s="13">
        <f t="shared" si="64"/>
        <v>7.2625921229019466E-2</v>
      </c>
      <c r="S107" s="13">
        <f t="shared" si="65"/>
        <v>9.1525951113159143E-2</v>
      </c>
    </row>
    <row r="108" spans="1:19" x14ac:dyDescent="0.35">
      <c r="A108" s="7">
        <v>43405</v>
      </c>
      <c r="B108" s="141">
        <f t="shared" si="36"/>
        <v>373035082.19999993</v>
      </c>
      <c r="C108" s="154">
        <v>87881947.560000002</v>
      </c>
      <c r="D108" s="155">
        <v>19161454.109999999</v>
      </c>
      <c r="E108" s="155">
        <v>119874209.39</v>
      </c>
      <c r="F108" s="155">
        <v>39407927.200000003</v>
      </c>
      <c r="G108" s="155">
        <v>20586009.649999999</v>
      </c>
      <c r="H108" s="155">
        <v>32466398.649999999</v>
      </c>
      <c r="I108" s="155">
        <v>24867136.520000003</v>
      </c>
      <c r="J108" s="141">
        <v>28789999.120000001</v>
      </c>
      <c r="L108" s="13">
        <f t="shared" si="58"/>
        <v>0.23558628062998849</v>
      </c>
      <c r="M108" s="60">
        <f t="shared" si="59"/>
        <v>5.136635942387513E-2</v>
      </c>
      <c r="N108" s="13">
        <f t="shared" si="60"/>
        <v>0.32134835330509304</v>
      </c>
      <c r="O108" s="60">
        <f t="shared" si="61"/>
        <v>0.10564134334923422</v>
      </c>
      <c r="P108" s="13">
        <f t="shared" si="62"/>
        <v>5.5185184000905753E-2</v>
      </c>
      <c r="Q108" s="60">
        <f t="shared" si="63"/>
        <v>8.7033097419489849E-2</v>
      </c>
      <c r="R108" s="13">
        <f t="shared" si="64"/>
        <v>6.6661656521269694E-2</v>
      </c>
      <c r="S108" s="13">
        <f t="shared" si="65"/>
        <v>7.7177725350144041E-2</v>
      </c>
    </row>
    <row r="109" spans="1:19" ht="15" thickBot="1" x14ac:dyDescent="0.4">
      <c r="A109" s="15">
        <v>43435</v>
      </c>
      <c r="B109" s="142">
        <f t="shared" si="36"/>
        <v>431078397.97000003</v>
      </c>
      <c r="C109" s="161">
        <v>96381792.109999999</v>
      </c>
      <c r="D109" s="162">
        <v>24273007.919999998</v>
      </c>
      <c r="E109" s="162">
        <v>147659255.56</v>
      </c>
      <c r="F109" s="162">
        <v>40699006.730000012</v>
      </c>
      <c r="G109" s="162">
        <v>23699087.349999998</v>
      </c>
      <c r="H109" s="162">
        <v>33161161.360000003</v>
      </c>
      <c r="I109" s="162">
        <v>29007043.289999999</v>
      </c>
      <c r="J109" s="142">
        <v>36198043.649999999</v>
      </c>
      <c r="K109" s="12"/>
      <c r="L109" s="57">
        <f t="shared" si="58"/>
        <v>0.22358297832569074</v>
      </c>
      <c r="M109" s="61">
        <f t="shared" si="59"/>
        <v>5.630764156660252E-2</v>
      </c>
      <c r="N109" s="57">
        <f t="shared" si="60"/>
        <v>0.34253457434968948</v>
      </c>
      <c r="O109" s="61">
        <f t="shared" si="61"/>
        <v>9.4412076600582456E-2</v>
      </c>
      <c r="P109" s="57">
        <f t="shared" si="62"/>
        <v>5.497628148754808E-2</v>
      </c>
      <c r="Q109" s="61">
        <f t="shared" si="63"/>
        <v>7.6926056875408044E-2</v>
      </c>
      <c r="R109" s="57">
        <f t="shared" si="64"/>
        <v>6.728948475868346E-2</v>
      </c>
      <c r="S109" s="57">
        <f t="shared" si="65"/>
        <v>8.3970906035795198E-2</v>
      </c>
    </row>
    <row r="110" spans="1:19" x14ac:dyDescent="0.35">
      <c r="A110" s="121">
        <v>43484</v>
      </c>
      <c r="B110" s="166">
        <f>SUM(C110:J110)</f>
        <v>346379505.46000004</v>
      </c>
      <c r="C110" s="159">
        <v>83774987.88000001</v>
      </c>
      <c r="D110" s="160">
        <v>11199881.169999998</v>
      </c>
      <c r="E110" s="160">
        <v>94930424.439999998</v>
      </c>
      <c r="F110" s="160">
        <v>44359305.109999999</v>
      </c>
      <c r="G110" s="160">
        <v>19557020.870000001</v>
      </c>
      <c r="H110" s="160">
        <v>32550315.000000004</v>
      </c>
      <c r="I110" s="160">
        <v>28804863</v>
      </c>
      <c r="J110" s="140">
        <v>31202707.990000002</v>
      </c>
      <c r="L110" s="56">
        <f t="shared" si="58"/>
        <v>0.24185896266796986</v>
      </c>
      <c r="M110" s="126">
        <f t="shared" si="59"/>
        <v>3.2334133496513588E-2</v>
      </c>
      <c r="N110" s="56">
        <f t="shared" si="60"/>
        <v>0.27406478427160458</v>
      </c>
      <c r="O110" s="126">
        <f t="shared" si="61"/>
        <v>0.12806561707826741</v>
      </c>
      <c r="P110" s="56">
        <f t="shared" si="62"/>
        <v>5.6461252937086516E-2</v>
      </c>
      <c r="Q110" s="126">
        <f t="shared" si="63"/>
        <v>9.3972981908304387E-2</v>
      </c>
      <c r="R110" s="56">
        <f t="shared" si="64"/>
        <v>8.3159836381619848E-2</v>
      </c>
      <c r="S110" s="56">
        <f t="shared" si="65"/>
        <v>9.008243125863373E-2</v>
      </c>
    </row>
    <row r="111" spans="1:19" x14ac:dyDescent="0.35">
      <c r="A111" s="119">
        <v>43515</v>
      </c>
      <c r="B111" s="141">
        <f t="shared" ref="B111:B133" si="66">SUM(C111:J111)</f>
        <v>337043669.83999991</v>
      </c>
      <c r="C111" s="154">
        <v>81946941.200000003</v>
      </c>
      <c r="D111" s="155">
        <v>13846447.030000001</v>
      </c>
      <c r="E111" s="155">
        <v>98564107.099999994</v>
      </c>
      <c r="F111" s="155">
        <v>37929996.079999998</v>
      </c>
      <c r="G111" s="155">
        <v>19249233.5</v>
      </c>
      <c r="H111" s="155">
        <v>30682981.460000001</v>
      </c>
      <c r="I111" s="155">
        <v>26031372.079999998</v>
      </c>
      <c r="J111" s="141">
        <v>28792591.390000001</v>
      </c>
      <c r="L111" s="13">
        <f t="shared" ref="L111:L122" si="67">C111/$B111</f>
        <v>0.24313449126311004</v>
      </c>
      <c r="M111" s="60">
        <f t="shared" ref="M111:M122" si="68">D111/$B111</f>
        <v>4.1082056329890822E-2</v>
      </c>
      <c r="N111" s="13">
        <f t="shared" ref="N111:N122" si="69">E111/$B111</f>
        <v>0.29243720004232676</v>
      </c>
      <c r="O111" s="60">
        <f t="shared" ref="O111:O122" si="70">F111/$B111</f>
        <v>0.11253733410274692</v>
      </c>
      <c r="P111" s="13">
        <f t="shared" ref="P111:P122" si="71">G111/$B111</f>
        <v>5.7111986435282772E-2</v>
      </c>
      <c r="Q111" s="60">
        <f t="shared" ref="Q111:Q122" si="72">H111/$B111</f>
        <v>9.1035625960771513E-2</v>
      </c>
      <c r="R111" s="13">
        <f t="shared" ref="R111:R122" si="73">I111/$B111</f>
        <v>7.7234419184782535E-2</v>
      </c>
      <c r="S111" s="13">
        <f t="shared" ref="S111:S122" si="74">J111/$B111</f>
        <v>8.5426886681088859E-2</v>
      </c>
    </row>
    <row r="112" spans="1:19" x14ac:dyDescent="0.35">
      <c r="A112" s="119">
        <v>43543</v>
      </c>
      <c r="B112" s="141">
        <f t="shared" si="66"/>
        <v>407297019</v>
      </c>
      <c r="C112" s="154">
        <v>91906270</v>
      </c>
      <c r="D112" s="155">
        <v>18660514</v>
      </c>
      <c r="E112" s="155">
        <v>126349996</v>
      </c>
      <c r="F112" s="155">
        <v>46416912</v>
      </c>
      <c r="G112" s="155">
        <v>22827206</v>
      </c>
      <c r="H112" s="155">
        <v>39495529</v>
      </c>
      <c r="I112" s="155">
        <v>30629428</v>
      </c>
      <c r="J112" s="141">
        <v>31011164</v>
      </c>
      <c r="L112" s="13">
        <f t="shared" si="67"/>
        <v>0.22564925769810262</v>
      </c>
      <c r="M112" s="60">
        <f t="shared" si="68"/>
        <v>4.5815493680301154E-2</v>
      </c>
      <c r="N112" s="13">
        <f t="shared" si="69"/>
        <v>0.31021586239500565</v>
      </c>
      <c r="O112" s="60">
        <f t="shared" si="70"/>
        <v>0.11396329910285938</v>
      </c>
      <c r="P112" s="13">
        <f t="shared" si="71"/>
        <v>5.6045600471237432E-2</v>
      </c>
      <c r="Q112" s="60">
        <f t="shared" si="72"/>
        <v>9.6969845487624357E-2</v>
      </c>
      <c r="R112" s="13">
        <f t="shared" si="73"/>
        <v>7.5201699426137955E-2</v>
      </c>
      <c r="S112" s="13">
        <f t="shared" si="74"/>
        <v>7.6138941738731453E-2</v>
      </c>
    </row>
    <row r="113" spans="1:19" x14ac:dyDescent="0.35">
      <c r="A113" s="119">
        <v>43574</v>
      </c>
      <c r="B113" s="141">
        <f t="shared" si="66"/>
        <v>368678880</v>
      </c>
      <c r="C113" s="154">
        <v>84689959</v>
      </c>
      <c r="D113" s="155">
        <v>16116918</v>
      </c>
      <c r="E113" s="155">
        <v>106406339</v>
      </c>
      <c r="F113" s="155">
        <v>44473593</v>
      </c>
      <c r="G113" s="155">
        <v>20251622</v>
      </c>
      <c r="H113" s="155">
        <v>37406472</v>
      </c>
      <c r="I113" s="155">
        <v>29668327</v>
      </c>
      <c r="J113" s="141">
        <v>29665650</v>
      </c>
      <c r="L113" s="13">
        <f t="shared" si="67"/>
        <v>0.22971198946899263</v>
      </c>
      <c r="M113" s="60">
        <f t="shared" si="68"/>
        <v>4.3715327550089118E-2</v>
      </c>
      <c r="N113" s="13">
        <f t="shared" si="69"/>
        <v>0.28861522797291778</v>
      </c>
      <c r="O113" s="60">
        <f t="shared" si="70"/>
        <v>0.12062961946721765</v>
      </c>
      <c r="P113" s="13">
        <f t="shared" si="71"/>
        <v>5.4930247157092375E-2</v>
      </c>
      <c r="Q113" s="60">
        <f t="shared" si="72"/>
        <v>0.10146084853029824</v>
      </c>
      <c r="R113" s="13">
        <f t="shared" si="73"/>
        <v>8.0472000457417037E-2</v>
      </c>
      <c r="S113" s="13">
        <f t="shared" si="74"/>
        <v>8.0464739395975163E-2</v>
      </c>
    </row>
    <row r="114" spans="1:19" x14ac:dyDescent="0.35">
      <c r="A114" s="119">
        <v>43604</v>
      </c>
      <c r="B114" s="141">
        <f t="shared" si="66"/>
        <v>385019952</v>
      </c>
      <c r="C114" s="154">
        <v>89462105</v>
      </c>
      <c r="D114" s="155">
        <v>14768135</v>
      </c>
      <c r="E114" s="155">
        <v>107905412</v>
      </c>
      <c r="F114" s="155">
        <v>49843966</v>
      </c>
      <c r="G114" s="155">
        <v>21221056</v>
      </c>
      <c r="H114" s="155">
        <v>38570949</v>
      </c>
      <c r="I114" s="155">
        <v>29651162</v>
      </c>
      <c r="J114" s="141">
        <v>33597167</v>
      </c>
      <c r="L114" s="13">
        <f t="shared" si="67"/>
        <v>0.23235706236854967</v>
      </c>
      <c r="M114" s="60">
        <f t="shared" si="68"/>
        <v>3.8356804428670233E-2</v>
      </c>
      <c r="N114" s="13">
        <f t="shared" si="69"/>
        <v>0.28025927342071871</v>
      </c>
      <c r="O114" s="60">
        <f t="shared" si="70"/>
        <v>0.12945813779541482</v>
      </c>
      <c r="P114" s="13">
        <f t="shared" si="71"/>
        <v>5.5116769636914816E-2</v>
      </c>
      <c r="Q114" s="60">
        <f t="shared" si="72"/>
        <v>0.10017909149809462</v>
      </c>
      <c r="R114" s="13">
        <f t="shared" si="73"/>
        <v>7.7012014172190224E-2</v>
      </c>
      <c r="S114" s="13">
        <f t="shared" si="74"/>
        <v>8.7260846679446891E-2</v>
      </c>
    </row>
    <row r="115" spans="1:19" x14ac:dyDescent="0.35">
      <c r="A115" s="119">
        <v>43635</v>
      </c>
      <c r="B115" s="141">
        <f t="shared" si="66"/>
        <v>382616041</v>
      </c>
      <c r="C115" s="154">
        <v>85660694</v>
      </c>
      <c r="D115" s="155">
        <v>14956541</v>
      </c>
      <c r="E115" s="155">
        <v>107394037</v>
      </c>
      <c r="F115" s="155">
        <v>46031719</v>
      </c>
      <c r="G115" s="155">
        <v>27984112</v>
      </c>
      <c r="H115" s="155">
        <v>39662797</v>
      </c>
      <c r="I115" s="155">
        <v>30680163</v>
      </c>
      <c r="J115" s="141">
        <f>6746401+6195091+17304486</f>
        <v>30245978</v>
      </c>
      <c r="L115" s="13">
        <f t="shared" si="67"/>
        <v>0.22388160667837761</v>
      </c>
      <c r="M115" s="60">
        <f t="shared" si="68"/>
        <v>3.9090208975321034E-2</v>
      </c>
      <c r="N115" s="13">
        <f t="shared" si="69"/>
        <v>0.28068357175856096</v>
      </c>
      <c r="O115" s="60">
        <f t="shared" si="70"/>
        <v>0.1203078649804962</v>
      </c>
      <c r="P115" s="13">
        <f t="shared" si="71"/>
        <v>7.313888860190261E-2</v>
      </c>
      <c r="Q115" s="60">
        <f t="shared" si="72"/>
        <v>0.1036621384099262</v>
      </c>
      <c r="R115" s="13">
        <f t="shared" si="73"/>
        <v>8.0185250257189297E-2</v>
      </c>
      <c r="S115" s="13">
        <f t="shared" si="74"/>
        <v>7.9050470338226098E-2</v>
      </c>
    </row>
    <row r="116" spans="1:19" x14ac:dyDescent="0.35">
      <c r="A116" s="119">
        <v>43665</v>
      </c>
      <c r="B116" s="141">
        <f t="shared" si="66"/>
        <v>371094900</v>
      </c>
      <c r="C116" s="154">
        <v>85563295</v>
      </c>
      <c r="D116" s="155">
        <v>13096128</v>
      </c>
      <c r="E116" s="155">
        <v>104441690</v>
      </c>
      <c r="F116" s="155">
        <v>47072202</v>
      </c>
      <c r="G116" s="155">
        <v>24346332</v>
      </c>
      <c r="H116" s="155">
        <v>34374678</v>
      </c>
      <c r="I116" s="155">
        <v>29300640</v>
      </c>
      <c r="J116" s="141">
        <f>11049357+6726447+15124131</f>
        <v>32899935</v>
      </c>
      <c r="L116" s="13">
        <f t="shared" si="67"/>
        <v>0.23056984884459475</v>
      </c>
      <c r="M116" s="60">
        <f t="shared" si="68"/>
        <v>3.5290509247095557E-2</v>
      </c>
      <c r="N116" s="13">
        <f t="shared" si="69"/>
        <v>0.28144199772079864</v>
      </c>
      <c r="O116" s="60">
        <f t="shared" si="70"/>
        <v>0.12684680387685199</v>
      </c>
      <c r="P116" s="13">
        <f t="shared" si="71"/>
        <v>6.5606754498647113E-2</v>
      </c>
      <c r="Q116" s="60">
        <f t="shared" si="72"/>
        <v>9.2630424185296004E-2</v>
      </c>
      <c r="R116" s="13">
        <f t="shared" si="73"/>
        <v>7.8957269420840873E-2</v>
      </c>
      <c r="S116" s="13">
        <f t="shared" si="74"/>
        <v>8.8656392205875095E-2</v>
      </c>
    </row>
    <row r="117" spans="1:19" x14ac:dyDescent="0.35">
      <c r="A117" s="119">
        <v>43696</v>
      </c>
      <c r="B117" s="141">
        <f t="shared" si="66"/>
        <v>374994356</v>
      </c>
      <c r="C117" s="154">
        <v>87693373</v>
      </c>
      <c r="D117" s="155">
        <v>13787194</v>
      </c>
      <c r="E117" s="155">
        <v>113444725</v>
      </c>
      <c r="F117" s="155">
        <v>44876784</v>
      </c>
      <c r="G117" s="155">
        <v>22364786</v>
      </c>
      <c r="H117" s="155">
        <v>36624341</v>
      </c>
      <c r="I117" s="155">
        <v>26299001</v>
      </c>
      <c r="J117" s="141">
        <f>6743850+6355897+16804405</f>
        <v>29904152</v>
      </c>
      <c r="L117" s="13">
        <f t="shared" si="67"/>
        <v>0.2338525143029086</v>
      </c>
      <c r="M117" s="60">
        <f t="shared" si="68"/>
        <v>3.676640402555819E-2</v>
      </c>
      <c r="N117" s="13">
        <f t="shared" si="69"/>
        <v>0.30252381985183796</v>
      </c>
      <c r="O117" s="60">
        <f t="shared" si="70"/>
        <v>0.11967322516182083</v>
      </c>
      <c r="P117" s="13">
        <f t="shared" si="71"/>
        <v>5.9640326960014298E-2</v>
      </c>
      <c r="Q117" s="60">
        <f t="shared" si="72"/>
        <v>9.7666379277452378E-2</v>
      </c>
      <c r="R117" s="13">
        <f t="shared" si="73"/>
        <v>7.0131724862546999E-2</v>
      </c>
      <c r="S117" s="13">
        <f t="shared" si="74"/>
        <v>7.9745605557860713E-2</v>
      </c>
    </row>
    <row r="118" spans="1:19" x14ac:dyDescent="0.35">
      <c r="A118" s="119">
        <v>43727</v>
      </c>
      <c r="B118" s="141">
        <f t="shared" si="66"/>
        <v>382263371</v>
      </c>
      <c r="C118" s="154">
        <v>84348105</v>
      </c>
      <c r="D118" s="155">
        <v>15337501</v>
      </c>
      <c r="E118" s="155">
        <v>111814073</v>
      </c>
      <c r="F118" s="155">
        <v>45695482</v>
      </c>
      <c r="G118" s="155">
        <v>26586042</v>
      </c>
      <c r="H118" s="155">
        <v>37377858</v>
      </c>
      <c r="I118" s="155">
        <v>28456311</v>
      </c>
      <c r="J118" s="141">
        <f>7781836+7470944+17395219</f>
        <v>32647999</v>
      </c>
      <c r="K118" s="66"/>
      <c r="L118" s="13">
        <f t="shared" si="67"/>
        <v>0.22065442676169986</v>
      </c>
      <c r="M118" s="60">
        <f t="shared" si="68"/>
        <v>4.0122863354333786E-2</v>
      </c>
      <c r="N118" s="13">
        <f t="shared" si="69"/>
        <v>0.29250532874100565</v>
      </c>
      <c r="O118" s="60">
        <f t="shared" si="70"/>
        <v>0.11953926393852682</v>
      </c>
      <c r="P118" s="13">
        <f t="shared" si="71"/>
        <v>6.9549017815782307E-2</v>
      </c>
      <c r="Q118" s="60">
        <f t="shared" si="72"/>
        <v>9.7780380846377246E-2</v>
      </c>
      <c r="R118" s="13">
        <f t="shared" si="73"/>
        <v>7.4441636732178559E-2</v>
      </c>
      <c r="S118" s="13">
        <f t="shared" si="74"/>
        <v>8.5407081810095792E-2</v>
      </c>
    </row>
    <row r="119" spans="1:19" x14ac:dyDescent="0.35">
      <c r="A119" s="119">
        <v>43757</v>
      </c>
      <c r="B119" s="141">
        <f t="shared" si="66"/>
        <v>382206189</v>
      </c>
      <c r="C119" s="154">
        <v>88581695</v>
      </c>
      <c r="D119" s="155">
        <v>14465384</v>
      </c>
      <c r="E119" s="155">
        <v>111861431</v>
      </c>
      <c r="F119" s="155">
        <v>48675591</v>
      </c>
      <c r="G119" s="155">
        <v>21337352</v>
      </c>
      <c r="H119" s="155">
        <v>37624268</v>
      </c>
      <c r="I119" s="155">
        <v>29983947</v>
      </c>
      <c r="J119" s="141">
        <f>6605245+6582064+16489212</f>
        <v>29676521</v>
      </c>
      <c r="L119" s="13">
        <f t="shared" si="67"/>
        <v>0.23176415649302842</v>
      </c>
      <c r="M119" s="60">
        <f t="shared" si="68"/>
        <v>3.7847068980874088E-2</v>
      </c>
      <c r="N119" s="13">
        <f t="shared" si="69"/>
        <v>0.29267299750606601</v>
      </c>
      <c r="O119" s="60">
        <f t="shared" si="70"/>
        <v>0.12735427212038161</v>
      </c>
      <c r="P119" s="13">
        <f t="shared" si="71"/>
        <v>5.5826809230449172E-2</v>
      </c>
      <c r="Q119" s="60">
        <f t="shared" si="72"/>
        <v>9.8439714172184695E-2</v>
      </c>
      <c r="R119" s="13">
        <f t="shared" si="73"/>
        <v>7.8449663723263258E-2</v>
      </c>
      <c r="S119" s="13">
        <f t="shared" si="74"/>
        <v>7.7645317773752748E-2</v>
      </c>
    </row>
    <row r="120" spans="1:19" x14ac:dyDescent="0.35">
      <c r="A120" s="119">
        <v>43788</v>
      </c>
      <c r="B120" s="141">
        <f t="shared" si="66"/>
        <v>378630535</v>
      </c>
      <c r="C120" s="154">
        <v>85349194</v>
      </c>
      <c r="D120" s="155">
        <v>17706364</v>
      </c>
      <c r="E120" s="155">
        <v>120915074</v>
      </c>
      <c r="F120" s="155">
        <v>36973676</v>
      </c>
      <c r="G120" s="155">
        <v>25223901</v>
      </c>
      <c r="H120" s="155">
        <v>32312834</v>
      </c>
      <c r="I120" s="155">
        <v>29919715</v>
      </c>
      <c r="J120" s="141">
        <f>6340427+7186394+16702956</f>
        <v>30229777</v>
      </c>
      <c r="L120" s="13">
        <f t="shared" si="67"/>
        <v>0.22541550696644158</v>
      </c>
      <c r="M120" s="60">
        <f t="shared" si="68"/>
        <v>4.6764226239703569E-2</v>
      </c>
      <c r="N120" s="13">
        <f t="shared" si="69"/>
        <v>0.31934844874568818</v>
      </c>
      <c r="O120" s="60">
        <f t="shared" si="70"/>
        <v>9.7651067682642131E-2</v>
      </c>
      <c r="P120" s="13">
        <f t="shared" si="71"/>
        <v>6.6618771251505116E-2</v>
      </c>
      <c r="Q120" s="60">
        <f t="shared" si="72"/>
        <v>8.5341331490868796E-2</v>
      </c>
      <c r="R120" s="13">
        <f t="shared" si="73"/>
        <v>7.9020871890324432E-2</v>
      </c>
      <c r="S120" s="13">
        <f t="shared" si="74"/>
        <v>7.983977573282619E-2</v>
      </c>
    </row>
    <row r="121" spans="1:19" ht="15" thickBot="1" x14ac:dyDescent="0.4">
      <c r="A121" s="120">
        <v>43818</v>
      </c>
      <c r="B121" s="142">
        <f t="shared" si="66"/>
        <v>444608222</v>
      </c>
      <c r="C121" s="161">
        <v>100029530</v>
      </c>
      <c r="D121" s="162">
        <v>24072014</v>
      </c>
      <c r="E121" s="162">
        <v>149657938</v>
      </c>
      <c r="F121" s="162">
        <v>42756311</v>
      </c>
      <c r="G121" s="162">
        <v>29651358</v>
      </c>
      <c r="H121" s="162">
        <v>32432859</v>
      </c>
      <c r="I121" s="162">
        <v>31435551</v>
      </c>
      <c r="J121" s="142">
        <f>7309351+8748099+18515211</f>
        <v>34572661</v>
      </c>
      <c r="K121" s="12"/>
      <c r="L121" s="58">
        <f t="shared" si="67"/>
        <v>0.22498353617940967</v>
      </c>
      <c r="M121" s="125">
        <f t="shared" si="68"/>
        <v>5.4142080170528198E-2</v>
      </c>
      <c r="N121" s="58">
        <f t="shared" si="69"/>
        <v>0.33660632123892664</v>
      </c>
      <c r="O121" s="125">
        <f t="shared" si="70"/>
        <v>9.6166262530340704E-2</v>
      </c>
      <c r="P121" s="58">
        <f t="shared" si="71"/>
        <v>6.6690979907249662E-2</v>
      </c>
      <c r="Q121" s="125">
        <f t="shared" si="72"/>
        <v>7.2947051797886006E-2</v>
      </c>
      <c r="R121" s="58">
        <f t="shared" si="73"/>
        <v>7.0703935385162536E-2</v>
      </c>
      <c r="S121" s="58">
        <f t="shared" si="74"/>
        <v>7.7759832790496614E-2</v>
      </c>
    </row>
    <row r="122" spans="1:19" x14ac:dyDescent="0.35">
      <c r="A122" s="121">
        <v>43849</v>
      </c>
      <c r="B122" s="144">
        <f>SUM(C122:J122)</f>
        <v>354256627</v>
      </c>
      <c r="C122" s="145">
        <v>89513642</v>
      </c>
      <c r="D122" s="144">
        <v>10937748</v>
      </c>
      <c r="E122" s="145">
        <v>95919594</v>
      </c>
      <c r="F122" s="144">
        <v>45555958</v>
      </c>
      <c r="G122" s="145">
        <v>24047881</v>
      </c>
      <c r="H122" s="144">
        <v>32353998</v>
      </c>
      <c r="I122" s="145">
        <v>26397235</v>
      </c>
      <c r="J122" s="144">
        <f>6296997+6482587+16750987</f>
        <v>29530571</v>
      </c>
      <c r="K122" s="12"/>
      <c r="L122" s="65">
        <f t="shared" si="67"/>
        <v>0.25268021873871677</v>
      </c>
      <c r="M122" s="65">
        <f t="shared" si="68"/>
        <v>3.0875210698599012E-2</v>
      </c>
      <c r="N122" s="65">
        <f t="shared" si="69"/>
        <v>0.27076301948756487</v>
      </c>
      <c r="O122" s="65">
        <f t="shared" si="70"/>
        <v>0.12859592320343524</v>
      </c>
      <c r="P122" s="65">
        <f t="shared" si="71"/>
        <v>6.7882656715974432E-2</v>
      </c>
      <c r="Q122" s="65">
        <f t="shared" si="72"/>
        <v>9.1329266791669639E-2</v>
      </c>
      <c r="R122" s="65">
        <f t="shared" si="73"/>
        <v>7.4514442322627314E-2</v>
      </c>
      <c r="S122" s="65">
        <f t="shared" si="74"/>
        <v>8.335926204141271E-2</v>
      </c>
    </row>
    <row r="123" spans="1:19" x14ac:dyDescent="0.35">
      <c r="A123" s="119">
        <v>43880</v>
      </c>
      <c r="B123" s="146">
        <f>SUM(C123:J123)</f>
        <v>333519551</v>
      </c>
      <c r="C123" s="147">
        <v>81915367</v>
      </c>
      <c r="D123" s="146">
        <v>13102990</v>
      </c>
      <c r="E123" s="147">
        <v>97364947</v>
      </c>
      <c r="F123" s="146">
        <v>39022984</v>
      </c>
      <c r="G123" s="147">
        <v>20423501</v>
      </c>
      <c r="H123" s="146">
        <v>30576971</v>
      </c>
      <c r="I123" s="147">
        <v>25268161</v>
      </c>
      <c r="J123" s="146">
        <f>4538563+6311366+14994701</f>
        <v>25844630</v>
      </c>
      <c r="K123" s="12"/>
      <c r="L123" s="13">
        <f t="shared" ref="L123:L134" si="75">C123/$B123</f>
        <v>0.24560889085629645</v>
      </c>
      <c r="M123" s="13">
        <f t="shared" ref="M123:M134" si="76">D123/$B123</f>
        <v>3.9287022187194057E-2</v>
      </c>
      <c r="N123" s="13">
        <f t="shared" ref="N123:N134" si="77">E123/$B123</f>
        <v>0.29193175245069813</v>
      </c>
      <c r="O123" s="13">
        <f t="shared" ref="O123:O134" si="78">F123/$B123</f>
        <v>0.11700358759477941</v>
      </c>
      <c r="P123" s="13">
        <f t="shared" ref="P123:P134" si="79">G123/$B123</f>
        <v>6.1236293161116666E-2</v>
      </c>
      <c r="Q123" s="13">
        <f t="shared" ref="Q123:Q134" si="80">H123/$B123</f>
        <v>9.1679695862867117E-2</v>
      </c>
      <c r="R123" s="13">
        <f t="shared" ref="R123:R134" si="81">I123/$B123</f>
        <v>7.5762158243011066E-2</v>
      </c>
      <c r="S123" s="13">
        <f t="shared" ref="S123:S134" si="82">J123/$B123</f>
        <v>7.7490599644037053E-2</v>
      </c>
    </row>
    <row r="124" spans="1:19" x14ac:dyDescent="0.35">
      <c r="A124" s="119">
        <v>43909</v>
      </c>
      <c r="B124" s="146">
        <f>SUM(C124:J124)</f>
        <v>351106683</v>
      </c>
      <c r="C124" s="147">
        <v>78924843</v>
      </c>
      <c r="D124" s="146">
        <v>8176848</v>
      </c>
      <c r="E124" s="147">
        <v>106879224</v>
      </c>
      <c r="F124" s="146">
        <v>42874209</v>
      </c>
      <c r="G124" s="147">
        <v>21361249</v>
      </c>
      <c r="H124" s="146">
        <v>39672066</v>
      </c>
      <c r="I124" s="147">
        <v>25451079</v>
      </c>
      <c r="J124" s="146">
        <f>5490385+6106138+16170642</f>
        <v>27767165</v>
      </c>
      <c r="K124" s="12"/>
      <c r="L124" s="13">
        <f t="shared" si="75"/>
        <v>0.2247887802238159</v>
      </c>
      <c r="M124" s="13">
        <f t="shared" si="76"/>
        <v>2.3288784850614763E-2</v>
      </c>
      <c r="N124" s="13">
        <f t="shared" si="77"/>
        <v>0.30440669225313494</v>
      </c>
      <c r="O124" s="13">
        <f t="shared" si="78"/>
        <v>0.12211162896036359</v>
      </c>
      <c r="P124" s="13">
        <f t="shared" si="79"/>
        <v>6.0839767609891945E-2</v>
      </c>
      <c r="Q124" s="13">
        <f t="shared" si="80"/>
        <v>0.11299148640813539</v>
      </c>
      <c r="R124" s="13">
        <f t="shared" si="81"/>
        <v>7.2488164516082421E-2</v>
      </c>
      <c r="S124" s="13">
        <f t="shared" si="82"/>
        <v>7.9084695177961059E-2</v>
      </c>
    </row>
    <row r="125" spans="1:19" x14ac:dyDescent="0.35">
      <c r="A125" s="119">
        <v>43940</v>
      </c>
      <c r="B125" s="146">
        <f t="shared" si="66"/>
        <v>292061683</v>
      </c>
      <c r="C125" s="147">
        <v>72794455</v>
      </c>
      <c r="D125" s="146">
        <v>2529904</v>
      </c>
      <c r="E125" s="147">
        <v>83668149</v>
      </c>
      <c r="F125" s="146">
        <v>32632072</v>
      </c>
      <c r="G125" s="147">
        <v>16015203</v>
      </c>
      <c r="H125" s="146">
        <v>39742057</v>
      </c>
      <c r="I125" s="147">
        <v>22227720</v>
      </c>
      <c r="J125" s="146">
        <f>5077734+5163388+12211001</f>
        <v>22452123</v>
      </c>
      <c r="K125" s="12"/>
      <c r="L125" s="13">
        <f t="shared" si="75"/>
        <v>0.24924342780014727</v>
      </c>
      <c r="M125" s="13">
        <f t="shared" si="76"/>
        <v>8.6622249588283028E-3</v>
      </c>
      <c r="N125" s="13">
        <f t="shared" si="77"/>
        <v>0.28647424112802911</v>
      </c>
      <c r="O125" s="13">
        <f t="shared" si="78"/>
        <v>0.11173006902107045</v>
      </c>
      <c r="P125" s="13">
        <f t="shared" si="79"/>
        <v>5.48350020978274E-2</v>
      </c>
      <c r="Q125" s="13">
        <f t="shared" si="80"/>
        <v>0.13607419019084405</v>
      </c>
      <c r="R125" s="13">
        <f t="shared" si="81"/>
        <v>7.6106251842697217E-2</v>
      </c>
      <c r="S125" s="13">
        <f t="shared" si="82"/>
        <v>7.6874592960556209E-2</v>
      </c>
    </row>
    <row r="126" spans="1:19" x14ac:dyDescent="0.35">
      <c r="A126" s="119">
        <v>43970</v>
      </c>
      <c r="B126" s="146">
        <f>SUM(C126:J126)</f>
        <v>337424872.68999994</v>
      </c>
      <c r="C126" s="147">
        <v>81275405.239999995</v>
      </c>
      <c r="D126" s="146">
        <v>6973808.1699999999</v>
      </c>
      <c r="E126" s="147">
        <v>110108191.10999998</v>
      </c>
      <c r="F126" s="146">
        <v>38485331.649999991</v>
      </c>
      <c r="G126" s="147">
        <v>20139647.079999998</v>
      </c>
      <c r="H126" s="146">
        <v>37584062.689999998</v>
      </c>
      <c r="I126" s="147">
        <v>22534991.32</v>
      </c>
      <c r="J126" s="146">
        <v>20323435.43</v>
      </c>
      <c r="K126" s="12"/>
      <c r="L126" s="13">
        <f t="shared" si="75"/>
        <v>0.24086963297062453</v>
      </c>
      <c r="M126" s="13">
        <f t="shared" si="76"/>
        <v>2.0667735944904689E-2</v>
      </c>
      <c r="N126" s="13">
        <f t="shared" si="77"/>
        <v>0.32631913063255102</v>
      </c>
      <c r="O126" s="13">
        <f t="shared" si="78"/>
        <v>0.11405600109793139</v>
      </c>
      <c r="P126" s="13">
        <f t="shared" si="79"/>
        <v>5.9686314525197313E-2</v>
      </c>
      <c r="Q126" s="13">
        <f t="shared" si="80"/>
        <v>0.11138497998198653</v>
      </c>
      <c r="R126" s="13">
        <f t="shared" si="81"/>
        <v>6.6785211002223357E-2</v>
      </c>
      <c r="S126" s="13">
        <f t="shared" si="82"/>
        <v>6.0230993844581256E-2</v>
      </c>
    </row>
    <row r="127" spans="1:19" x14ac:dyDescent="0.35">
      <c r="A127" s="119">
        <v>44001</v>
      </c>
      <c r="B127" s="146">
        <f>SUM(C127:J127)</f>
        <v>390634293.36000001</v>
      </c>
      <c r="C127" s="147">
        <v>90684144.019999996</v>
      </c>
      <c r="D127" s="146">
        <v>17920956.960000001</v>
      </c>
      <c r="E127" s="147">
        <v>119787581.7</v>
      </c>
      <c r="F127" s="146">
        <v>45671800.760000013</v>
      </c>
      <c r="G127" s="147">
        <v>23408589.550000001</v>
      </c>
      <c r="H127" s="146">
        <v>41074774.750000007</v>
      </c>
      <c r="I127" s="147">
        <v>27371578.079999998</v>
      </c>
      <c r="J127" s="146">
        <v>24714867.539999999</v>
      </c>
      <c r="K127" s="12"/>
      <c r="L127" s="13">
        <f t="shared" si="75"/>
        <v>0.23214588570806166</v>
      </c>
      <c r="M127" s="13">
        <f t="shared" si="76"/>
        <v>4.5876558368326457E-2</v>
      </c>
      <c r="N127" s="13">
        <f t="shared" si="77"/>
        <v>0.30664891366720431</v>
      </c>
      <c r="O127" s="13">
        <f t="shared" si="78"/>
        <v>0.11691702837239096</v>
      </c>
      <c r="P127" s="13">
        <f t="shared" si="79"/>
        <v>5.9924563582611924E-2</v>
      </c>
      <c r="Q127" s="13">
        <f t="shared" si="80"/>
        <v>0.10514892176183414</v>
      </c>
      <c r="R127" s="13">
        <f t="shared" si="81"/>
        <v>7.0069572859479984E-2</v>
      </c>
      <c r="S127" s="13">
        <f t="shared" si="82"/>
        <v>6.3268555680090585E-2</v>
      </c>
    </row>
    <row r="128" spans="1:19" x14ac:dyDescent="0.35">
      <c r="A128" s="119">
        <v>44031</v>
      </c>
      <c r="B128" s="146">
        <f t="shared" si="66"/>
        <v>360803407.77000004</v>
      </c>
      <c r="C128" s="147">
        <v>85829104.820000008</v>
      </c>
      <c r="D128" s="148">
        <v>11881741.59</v>
      </c>
      <c r="E128" s="147">
        <v>109572305.76999998</v>
      </c>
      <c r="F128" s="146">
        <v>44428314.839999996</v>
      </c>
      <c r="G128" s="147">
        <v>21201721.190000001</v>
      </c>
      <c r="H128" s="146">
        <v>35318778.629999995</v>
      </c>
      <c r="I128" s="147">
        <v>26004173.759999998</v>
      </c>
      <c r="J128" s="146">
        <v>26567267.170000002</v>
      </c>
      <c r="K128" s="12"/>
      <c r="L128" s="13">
        <f t="shared" si="75"/>
        <v>0.23788329869299116</v>
      </c>
      <c r="M128" s="13">
        <f t="shared" si="76"/>
        <v>3.2931345253740529E-2</v>
      </c>
      <c r="N128" s="13">
        <f t="shared" si="77"/>
        <v>0.30368977512498613</v>
      </c>
      <c r="O128" s="13">
        <f t="shared" si="78"/>
        <v>0.12313718186476094</v>
      </c>
      <c r="P128" s="13">
        <f t="shared" si="79"/>
        <v>5.8762530323758416E-2</v>
      </c>
      <c r="Q128" s="13">
        <f t="shared" si="80"/>
        <v>9.7889260105088916E-2</v>
      </c>
      <c r="R128" s="13">
        <f t="shared" si="81"/>
        <v>7.2072971596146285E-2</v>
      </c>
      <c r="S128" s="13">
        <f t="shared" si="82"/>
        <v>7.3633637038527461E-2</v>
      </c>
    </row>
    <row r="129" spans="1:19" x14ac:dyDescent="0.35">
      <c r="A129" s="119">
        <v>44062</v>
      </c>
      <c r="B129" s="146">
        <f t="shared" si="66"/>
        <v>350467576.67000002</v>
      </c>
      <c r="C129" s="147">
        <v>85408227.519999981</v>
      </c>
      <c r="D129" s="146">
        <v>11345991.789999999</v>
      </c>
      <c r="E129" s="147">
        <v>101131573.89</v>
      </c>
      <c r="F129" s="146">
        <v>44092278.729999997</v>
      </c>
      <c r="G129" s="147">
        <v>20750949.210000001</v>
      </c>
      <c r="H129" s="146">
        <v>35916043.689999998</v>
      </c>
      <c r="I129" s="147">
        <v>26646122.740000002</v>
      </c>
      <c r="J129" s="151">
        <v>25176389.100000001</v>
      </c>
      <c r="K129" s="12"/>
      <c r="L129" s="13">
        <f t="shared" si="75"/>
        <v>0.24369794299237071</v>
      </c>
      <c r="M129" s="13">
        <f t="shared" si="76"/>
        <v>3.2373870067539445E-2</v>
      </c>
      <c r="N129" s="13">
        <f t="shared" si="77"/>
        <v>0.28856185456843392</v>
      </c>
      <c r="O129" s="13">
        <f t="shared" si="78"/>
        <v>0.12580986563421029</v>
      </c>
      <c r="P129" s="13">
        <f t="shared" si="79"/>
        <v>5.9209326600671755E-2</v>
      </c>
      <c r="Q129" s="13">
        <f t="shared" si="80"/>
        <v>0.10248036075479391</v>
      </c>
      <c r="R129" s="13">
        <f t="shared" si="81"/>
        <v>7.6030207967255042E-2</v>
      </c>
      <c r="S129" s="13">
        <f t="shared" si="82"/>
        <v>7.1836571414724812E-2</v>
      </c>
    </row>
    <row r="130" spans="1:19" x14ac:dyDescent="0.35">
      <c r="A130" s="119">
        <v>44093</v>
      </c>
      <c r="B130" s="146">
        <f t="shared" si="66"/>
        <v>417701999.33999997</v>
      </c>
      <c r="C130" s="152">
        <v>92665888.100000009</v>
      </c>
      <c r="D130" s="146">
        <v>16156476.34</v>
      </c>
      <c r="E130" s="147">
        <v>126529795.43000001</v>
      </c>
      <c r="F130" s="146">
        <v>48940582.089999996</v>
      </c>
      <c r="G130" s="147">
        <v>26361635.739999998</v>
      </c>
      <c r="H130" s="146">
        <v>41953271.739999995</v>
      </c>
      <c r="I130" s="147">
        <v>34144200.620000005</v>
      </c>
      <c r="J130" s="146">
        <v>30950149.279999997</v>
      </c>
      <c r="K130" s="12"/>
      <c r="L130" s="13">
        <f t="shared" si="75"/>
        <v>0.22184688664746388</v>
      </c>
      <c r="M130" s="13">
        <f t="shared" si="76"/>
        <v>3.8679432623086381E-2</v>
      </c>
      <c r="N130" s="13">
        <f t="shared" si="77"/>
        <v>0.30291881683574995</v>
      </c>
      <c r="O130" s="13">
        <f t="shared" si="78"/>
        <v>0.11716626247259944</v>
      </c>
      <c r="P130" s="13">
        <f t="shared" si="79"/>
        <v>6.3111107396309638E-2</v>
      </c>
      <c r="Q130" s="13">
        <f t="shared" si="80"/>
        <v>0.10043828328877828</v>
      </c>
      <c r="R130" s="13">
        <f t="shared" si="81"/>
        <v>8.1742966693840027E-2</v>
      </c>
      <c r="S130" s="13">
        <f t="shared" si="82"/>
        <v>7.4096244042172466E-2</v>
      </c>
    </row>
    <row r="131" spans="1:19" x14ac:dyDescent="0.35">
      <c r="A131" s="119">
        <v>44123</v>
      </c>
      <c r="B131" s="146">
        <f t="shared" si="66"/>
        <v>407421370.38200003</v>
      </c>
      <c r="C131" s="147">
        <v>85139057.159999996</v>
      </c>
      <c r="D131" s="146">
        <v>13077349.279999999</v>
      </c>
      <c r="E131" s="147">
        <v>120322148.34200001</v>
      </c>
      <c r="F131" s="146">
        <v>44205680.210000001</v>
      </c>
      <c r="G131" s="147">
        <v>24507889.529999997</v>
      </c>
      <c r="H131" s="148">
        <v>39792818.86999999</v>
      </c>
      <c r="I131" s="147">
        <v>32098857.410000004</v>
      </c>
      <c r="J131" s="146">
        <v>48277569.579999998</v>
      </c>
      <c r="K131" s="12"/>
      <c r="L131" s="13">
        <f t="shared" si="75"/>
        <v>0.20897052376062958</v>
      </c>
      <c r="M131" s="13">
        <f t="shared" si="76"/>
        <v>3.2097848151015303E-2</v>
      </c>
      <c r="N131" s="13">
        <f t="shared" si="77"/>
        <v>0.29532606065603639</v>
      </c>
      <c r="O131" s="13">
        <f t="shared" si="78"/>
        <v>0.10850113279171528</v>
      </c>
      <c r="P131" s="13">
        <f t="shared" si="79"/>
        <v>6.0153667214415618E-2</v>
      </c>
      <c r="Q131" s="13">
        <f t="shared" si="80"/>
        <v>9.7669935263067012E-2</v>
      </c>
      <c r="R131" s="13">
        <f t="shared" si="81"/>
        <v>7.8785404358892558E-2</v>
      </c>
      <c r="S131" s="13">
        <f t="shared" si="82"/>
        <v>0.11849542780422818</v>
      </c>
    </row>
    <row r="132" spans="1:19" x14ac:dyDescent="0.35">
      <c r="A132" s="136">
        <v>44154</v>
      </c>
      <c r="B132" s="146">
        <f t="shared" si="66"/>
        <v>381879649.13999999</v>
      </c>
      <c r="C132" s="147">
        <v>85572220.649999991</v>
      </c>
      <c r="D132" s="146">
        <v>13718075.969999999</v>
      </c>
      <c r="E132" s="147">
        <v>115621399.41</v>
      </c>
      <c r="F132" s="146">
        <v>44155006.399999991</v>
      </c>
      <c r="G132" s="147">
        <v>22140889.859999999</v>
      </c>
      <c r="H132" s="146">
        <v>34636108.539999999</v>
      </c>
      <c r="I132" s="147">
        <v>27975698.18</v>
      </c>
      <c r="J132" s="151">
        <v>38060250.129999995</v>
      </c>
      <c r="K132" s="12"/>
      <c r="L132" s="13">
        <f t="shared" si="75"/>
        <v>0.22408164677722472</v>
      </c>
      <c r="M132" s="13">
        <f t="shared" si="76"/>
        <v>3.5922511191401163E-2</v>
      </c>
      <c r="N132" s="13">
        <f t="shared" si="77"/>
        <v>0.30276920927936724</v>
      </c>
      <c r="O132" s="13">
        <f t="shared" si="78"/>
        <v>0.1156254503203768</v>
      </c>
      <c r="P132" s="13">
        <f t="shared" si="79"/>
        <v>5.797871111975119E-2</v>
      </c>
      <c r="Q132" s="13">
        <f t="shared" si="80"/>
        <v>9.069901634716894E-2</v>
      </c>
      <c r="R132" s="13">
        <f t="shared" si="81"/>
        <v>7.3257892225997878E-2</v>
      </c>
      <c r="S132" s="13">
        <f t="shared" si="82"/>
        <v>9.9665562738712007E-2</v>
      </c>
    </row>
    <row r="133" spans="1:19" ht="15" thickBot="1" x14ac:dyDescent="0.4">
      <c r="A133" s="137">
        <v>44184</v>
      </c>
      <c r="B133" s="149">
        <f t="shared" si="66"/>
        <v>472669662.60000002</v>
      </c>
      <c r="C133" s="153">
        <v>102807778.23</v>
      </c>
      <c r="D133" s="149">
        <v>24488750.670000002</v>
      </c>
      <c r="E133" s="150">
        <v>155627037.93000001</v>
      </c>
      <c r="F133" s="149">
        <v>44650147.199999988</v>
      </c>
      <c r="G133" s="150">
        <v>30268881.75</v>
      </c>
      <c r="H133" s="149">
        <v>37423208.559999995</v>
      </c>
      <c r="I133" s="150">
        <v>32438257.780000001</v>
      </c>
      <c r="J133" s="149">
        <v>44965600.479999997</v>
      </c>
      <c r="K133" s="12"/>
      <c r="L133" s="57">
        <f t="shared" si="75"/>
        <v>0.21750449915589737</v>
      </c>
      <c r="M133" s="57">
        <f t="shared" si="76"/>
        <v>5.1809440308259805E-2</v>
      </c>
      <c r="N133" s="57">
        <f t="shared" si="77"/>
        <v>0.32925116681689909</v>
      </c>
      <c r="O133" s="57">
        <f t="shared" si="78"/>
        <v>9.4463746529435053E-2</v>
      </c>
      <c r="P133" s="57">
        <f t="shared" si="79"/>
        <v>6.4038130950695799E-2</v>
      </c>
      <c r="Q133" s="57">
        <f t="shared" si="80"/>
        <v>7.9174128405337593E-2</v>
      </c>
      <c r="R133" s="57">
        <f t="shared" si="81"/>
        <v>6.8627754955898457E-2</v>
      </c>
      <c r="S133" s="57">
        <f t="shared" si="82"/>
        <v>9.5131132877576796E-2</v>
      </c>
    </row>
    <row r="134" spans="1:19" x14ac:dyDescent="0.35">
      <c r="A134" s="167">
        <v>44215</v>
      </c>
      <c r="B134" s="144">
        <f>SUM(C134:J134)</f>
        <v>360121601.97000003</v>
      </c>
      <c r="C134" s="170">
        <v>85345241.719999999</v>
      </c>
      <c r="D134" s="168">
        <v>10468444.550000001</v>
      </c>
      <c r="E134" s="170">
        <v>96493762.189999998</v>
      </c>
      <c r="F134" s="168">
        <v>46119021.439999998</v>
      </c>
      <c r="G134" s="170">
        <v>19247874.219999999</v>
      </c>
      <c r="H134" s="168">
        <v>31656609.77</v>
      </c>
      <c r="I134" s="170">
        <v>27192317.850000001</v>
      </c>
      <c r="J134" s="144">
        <v>43598330.230000004</v>
      </c>
      <c r="K134" s="12"/>
      <c r="L134" s="65">
        <f t="shared" si="75"/>
        <v>0.23699006461464561</v>
      </c>
      <c r="M134" s="59">
        <f t="shared" si="76"/>
        <v>2.9069193552215943E-2</v>
      </c>
      <c r="N134" s="65">
        <f t="shared" si="77"/>
        <v>0.26794772005384565</v>
      </c>
      <c r="O134" s="59">
        <f t="shared" si="78"/>
        <v>0.12806513463150135</v>
      </c>
      <c r="P134" s="65">
        <f t="shared" si="79"/>
        <v>5.3448263349676658E-2</v>
      </c>
      <c r="Q134" s="59">
        <f t="shared" si="80"/>
        <v>8.7905334189414042E-2</v>
      </c>
      <c r="R134" s="65">
        <f t="shared" si="81"/>
        <v>7.5508710672305801E-2</v>
      </c>
      <c r="S134" s="62">
        <f t="shared" si="82"/>
        <v>0.12106557893639484</v>
      </c>
    </row>
    <row r="135" spans="1:19" x14ac:dyDescent="0.35">
      <c r="A135" s="136">
        <v>44246</v>
      </c>
      <c r="B135" s="146">
        <f>SUM(C135:J135)</f>
        <v>362610084.72000003</v>
      </c>
      <c r="C135" s="151">
        <v>83271665.060000002</v>
      </c>
      <c r="D135" s="147">
        <v>11361028.989999998</v>
      </c>
      <c r="E135" s="146">
        <v>103628823.5</v>
      </c>
      <c r="F135" s="147">
        <v>40528956.790000014</v>
      </c>
      <c r="G135" s="146">
        <v>20274539.619999997</v>
      </c>
      <c r="H135" s="147">
        <v>37180618.199999996</v>
      </c>
      <c r="I135" s="146">
        <v>25905833.120000001</v>
      </c>
      <c r="J135" s="146">
        <v>40458619.439999998</v>
      </c>
      <c r="K135" s="12"/>
      <c r="L135" s="13">
        <f t="shared" ref="L135:L146" si="83">C135/$B135</f>
        <v>0.22964519898640065</v>
      </c>
      <c r="M135" s="60">
        <f t="shared" ref="M135:M146" si="84">D135/$B135</f>
        <v>3.1331254889870888E-2</v>
      </c>
      <c r="N135" s="13">
        <f t="shared" ref="N135:N146" si="85">E135/$B135</f>
        <v>0.28578582854368217</v>
      </c>
      <c r="O135" s="60">
        <f t="shared" ref="O135:O146" si="86">F135/$B135</f>
        <v>0.11177007617230401</v>
      </c>
      <c r="P135" s="13">
        <f t="shared" ref="P135:P146" si="87">G135/$B135</f>
        <v>5.5912784763434184E-2</v>
      </c>
      <c r="Q135" s="60">
        <f t="shared" ref="Q135:Q146" si="88">H135/$B135</f>
        <v>0.10253608425896399</v>
      </c>
      <c r="R135" s="13">
        <f t="shared" ref="R135:R146" si="89">I135/$B135</f>
        <v>7.1442671375243044E-2</v>
      </c>
      <c r="S135" s="63">
        <f t="shared" ref="S135:S146" si="90">J135/$B135</f>
        <v>0.11157610101010099</v>
      </c>
    </row>
    <row r="136" spans="1:19" x14ac:dyDescent="0.35">
      <c r="A136" s="136">
        <v>44274</v>
      </c>
      <c r="B136" s="146">
        <f>SUM(C136:J136)</f>
        <v>470785304.45899999</v>
      </c>
      <c r="C136" s="151">
        <v>101580031.109</v>
      </c>
      <c r="D136" s="147">
        <v>22056715.73</v>
      </c>
      <c r="E136" s="146">
        <v>137837251</v>
      </c>
      <c r="F136" s="147">
        <v>55624080.170000002</v>
      </c>
      <c r="G136" s="146">
        <v>25461956.709999997</v>
      </c>
      <c r="H136" s="147">
        <v>51489179.479999997</v>
      </c>
      <c r="I136" s="146">
        <v>34872754.659999996</v>
      </c>
      <c r="J136" s="146">
        <v>41863335.600000001</v>
      </c>
      <c r="K136" s="12"/>
      <c r="L136" s="13">
        <f t="shared" si="83"/>
        <v>0.21576720884635525</v>
      </c>
      <c r="M136" s="60">
        <f t="shared" si="84"/>
        <v>4.6850901081855856E-2</v>
      </c>
      <c r="N136" s="13">
        <f t="shared" si="85"/>
        <v>0.29278154966709258</v>
      </c>
      <c r="O136" s="60">
        <f t="shared" si="86"/>
        <v>0.11815169174390451</v>
      </c>
      <c r="P136" s="13">
        <f t="shared" si="87"/>
        <v>5.4084009141405646E-2</v>
      </c>
      <c r="Q136" s="60">
        <f t="shared" si="88"/>
        <v>0.10936870584600865</v>
      </c>
      <c r="R136" s="13">
        <f t="shared" si="89"/>
        <v>7.4073583711526017E-2</v>
      </c>
      <c r="S136" s="63">
        <f t="shared" si="90"/>
        <v>8.8922349961851499E-2</v>
      </c>
    </row>
    <row r="137" spans="1:19" x14ac:dyDescent="0.35">
      <c r="A137" s="136">
        <v>44305</v>
      </c>
      <c r="B137" s="146">
        <f t="shared" ref="B137" si="91">SUM(C137:J137)</f>
        <v>448834419.03999996</v>
      </c>
      <c r="C137" s="151">
        <v>97803934.699999988</v>
      </c>
      <c r="D137" s="147">
        <v>17301109.350000001</v>
      </c>
      <c r="E137" s="146">
        <v>122723705.96000001</v>
      </c>
      <c r="F137" s="147">
        <v>58972870.820000008</v>
      </c>
      <c r="G137" s="146">
        <v>25277273.760000002</v>
      </c>
      <c r="H137" s="147">
        <v>42883219.569999993</v>
      </c>
      <c r="I137" s="146">
        <v>29862415.789999999</v>
      </c>
      <c r="J137" s="146">
        <v>54009889.090000004</v>
      </c>
      <c r="K137" s="12"/>
      <c r="L137" s="13">
        <f t="shared" si="83"/>
        <v>0.21790649413471949</v>
      </c>
      <c r="M137" s="60">
        <f t="shared" si="84"/>
        <v>3.8546752691125792E-2</v>
      </c>
      <c r="N137" s="13">
        <f t="shared" si="85"/>
        <v>0.27342757318498545</v>
      </c>
      <c r="O137" s="60">
        <f t="shared" si="86"/>
        <v>0.13139115076365024</v>
      </c>
      <c r="P137" s="13">
        <f t="shared" si="87"/>
        <v>5.6317592162528206E-2</v>
      </c>
      <c r="Q137" s="60">
        <f t="shared" si="88"/>
        <v>9.5543518390861767E-2</v>
      </c>
      <c r="R137" s="13">
        <f t="shared" si="89"/>
        <v>6.653325708369677E-2</v>
      </c>
      <c r="S137" s="63">
        <f t="shared" si="90"/>
        <v>0.12033366158843238</v>
      </c>
    </row>
    <row r="138" spans="1:19" x14ac:dyDescent="0.35">
      <c r="A138" s="136">
        <v>44335</v>
      </c>
      <c r="B138" s="146">
        <f>SUM(C138:J138)</f>
        <v>436701512.90999997</v>
      </c>
      <c r="C138" s="151">
        <v>97452804</v>
      </c>
      <c r="D138" s="147">
        <v>16949372</v>
      </c>
      <c r="E138" s="146">
        <v>120277605</v>
      </c>
      <c r="F138" s="147">
        <v>52784890</v>
      </c>
      <c r="G138" s="146">
        <v>25751831</v>
      </c>
      <c r="H138" s="147">
        <v>40364531</v>
      </c>
      <c r="I138" s="146">
        <v>43048170</v>
      </c>
      <c r="J138" s="146">
        <v>40072309.909999996</v>
      </c>
      <c r="K138" s="12"/>
      <c r="L138" s="13">
        <f t="shared" si="83"/>
        <v>0.22315655228811651</v>
      </c>
      <c r="M138" s="60">
        <f t="shared" si="84"/>
        <v>3.881225848533551E-2</v>
      </c>
      <c r="N138" s="13">
        <f t="shared" si="85"/>
        <v>0.27542291804422503</v>
      </c>
      <c r="O138" s="60">
        <f t="shared" si="86"/>
        <v>0.12087178184536874</v>
      </c>
      <c r="P138" s="13">
        <f t="shared" si="87"/>
        <v>5.896895302331414E-2</v>
      </c>
      <c r="Q138" s="60">
        <f t="shared" si="88"/>
        <v>9.2430481247997756E-2</v>
      </c>
      <c r="R138" s="13">
        <f t="shared" si="89"/>
        <v>9.8575729021739888E-2</v>
      </c>
      <c r="S138" s="63">
        <f t="shared" si="90"/>
        <v>9.1761326043902483E-2</v>
      </c>
    </row>
    <row r="139" spans="1:19" x14ac:dyDescent="0.35">
      <c r="A139" s="136">
        <v>44366</v>
      </c>
      <c r="B139" s="146">
        <f>SUM(C139:J139)</f>
        <v>478063815.48000002</v>
      </c>
      <c r="C139" s="151">
        <v>101831054.22000001</v>
      </c>
      <c r="D139" s="169">
        <v>24399460.469999999</v>
      </c>
      <c r="E139" s="151">
        <v>132128072.86000001</v>
      </c>
      <c r="F139" s="169">
        <v>58625290.389999986</v>
      </c>
      <c r="G139" s="151">
        <v>30018073.740000002</v>
      </c>
      <c r="H139" s="169">
        <v>49274703.560000002</v>
      </c>
      <c r="I139" s="151">
        <v>34284448.579999998</v>
      </c>
      <c r="J139" s="151">
        <v>47502711.659999996</v>
      </c>
      <c r="K139" s="12"/>
      <c r="L139" s="13">
        <f t="shared" ref="L139:R139" si="92">C139/$B139</f>
        <v>0.21300724071274152</v>
      </c>
      <c r="M139" s="60">
        <f t="shared" si="92"/>
        <v>5.1038082531935029E-2</v>
      </c>
      <c r="N139" s="13">
        <f t="shared" si="92"/>
        <v>0.27638166408251752</v>
      </c>
      <c r="O139" s="60">
        <f t="shared" si="92"/>
        <v>0.12263067919318943</v>
      </c>
      <c r="P139" s="13">
        <f t="shared" si="92"/>
        <v>6.2790934532161474E-2</v>
      </c>
      <c r="Q139" s="60">
        <f t="shared" si="92"/>
        <v>0.10307139332544073</v>
      </c>
      <c r="R139" s="13">
        <f t="shared" si="92"/>
        <v>7.1715213471190434E-2</v>
      </c>
      <c r="S139" s="63">
        <f t="shared" si="90"/>
        <v>9.9364792150823833E-2</v>
      </c>
    </row>
    <row r="140" spans="1:19" x14ac:dyDescent="0.35">
      <c r="A140" s="136">
        <v>44396</v>
      </c>
      <c r="B140" s="141">
        <f t="shared" ref="B140:B145" si="93">SUM(C140:J140)</f>
        <v>427292499.20999998</v>
      </c>
      <c r="C140" s="143">
        <v>94380467.939999998</v>
      </c>
      <c r="D140" s="138">
        <v>15247435.449999999</v>
      </c>
      <c r="E140" s="141">
        <v>117859072.95</v>
      </c>
      <c r="F140" s="138">
        <v>58391279.180000007</v>
      </c>
      <c r="G140" s="141">
        <v>24343090.949999999</v>
      </c>
      <c r="H140" s="138">
        <v>42762617.439999998</v>
      </c>
      <c r="I140" s="141">
        <v>33030775.669999994</v>
      </c>
      <c r="J140" s="141">
        <v>41277759.629999995</v>
      </c>
      <c r="K140" s="12"/>
      <c r="L140" s="13">
        <f t="shared" si="83"/>
        <v>0.22088023570386886</v>
      </c>
      <c r="M140" s="60">
        <f t="shared" si="84"/>
        <v>3.5683835962929913E-2</v>
      </c>
      <c r="N140" s="13">
        <f t="shared" si="85"/>
        <v>0.27582761964673808</v>
      </c>
      <c r="O140" s="60">
        <f t="shared" si="86"/>
        <v>0.1366541169993781</v>
      </c>
      <c r="P140" s="13">
        <f t="shared" si="87"/>
        <v>5.6970555287084931E-2</v>
      </c>
      <c r="Q140" s="60">
        <f t="shared" si="88"/>
        <v>0.10007809057978245</v>
      </c>
      <c r="R140" s="13">
        <f t="shared" si="89"/>
        <v>7.7302493563703945E-2</v>
      </c>
      <c r="S140" s="63">
        <f t="shared" si="90"/>
        <v>9.6603052256513763E-2</v>
      </c>
    </row>
    <row r="141" spans="1:19" x14ac:dyDescent="0.35">
      <c r="A141" s="136">
        <v>44427</v>
      </c>
      <c r="B141" s="141">
        <f t="shared" si="93"/>
        <v>406168436.51000005</v>
      </c>
      <c r="C141" s="143">
        <v>88768053.879999995</v>
      </c>
      <c r="D141" s="138">
        <v>13986001.949999999</v>
      </c>
      <c r="E141" s="141">
        <v>113763149.22999999</v>
      </c>
      <c r="F141" s="138">
        <v>50352647.290000007</v>
      </c>
      <c r="G141" s="141">
        <v>24267439.169999998</v>
      </c>
      <c r="H141" s="138">
        <v>42092011.949999996</v>
      </c>
      <c r="I141" s="141">
        <v>32897944.619999997</v>
      </c>
      <c r="J141" s="141">
        <v>40041188.420000002</v>
      </c>
      <c r="K141" s="12"/>
      <c r="L141" s="13">
        <f t="shared" si="83"/>
        <v>0.2185498574008827</v>
      </c>
      <c r="M141" s="60">
        <f t="shared" si="84"/>
        <v>3.4433995093697184E-2</v>
      </c>
      <c r="N141" s="13">
        <f t="shared" si="85"/>
        <v>0.28008860119094725</v>
      </c>
      <c r="O141" s="60">
        <f t="shared" si="86"/>
        <v>0.12396986758167335</v>
      </c>
      <c r="P141" s="13">
        <f t="shared" si="87"/>
        <v>5.9747230431093638E-2</v>
      </c>
      <c r="Q141" s="60">
        <f t="shared" si="88"/>
        <v>0.10363191269039851</v>
      </c>
      <c r="R141" s="13">
        <f t="shared" si="89"/>
        <v>8.0995817653078603E-2</v>
      </c>
      <c r="S141" s="63">
        <f t="shared" si="90"/>
        <v>9.8582717958228566E-2</v>
      </c>
    </row>
    <row r="142" spans="1:19" x14ac:dyDescent="0.35">
      <c r="A142" s="136">
        <v>44458</v>
      </c>
      <c r="B142" s="141">
        <f t="shared" si="93"/>
        <v>447523809.06999993</v>
      </c>
      <c r="C142" s="143">
        <v>98157297.329999983</v>
      </c>
      <c r="D142" s="138">
        <v>17253406.350000001</v>
      </c>
      <c r="E142" s="141">
        <v>120264179.18000001</v>
      </c>
      <c r="F142" s="138">
        <v>50400164.790000007</v>
      </c>
      <c r="G142" s="141">
        <v>29938214.490000002</v>
      </c>
      <c r="H142" s="138">
        <v>47691942.760000005</v>
      </c>
      <c r="I142" s="141">
        <v>39730934.030000001</v>
      </c>
      <c r="J142" s="141">
        <v>44087670.140000001</v>
      </c>
      <c r="K142" s="12"/>
      <c r="L142" s="13">
        <f t="shared" si="83"/>
        <v>0.21933424622475584</v>
      </c>
      <c r="M142" s="60">
        <f t="shared" si="84"/>
        <v>3.855304678840292E-2</v>
      </c>
      <c r="N142" s="13">
        <f t="shared" si="85"/>
        <v>0.26873247130676964</v>
      </c>
      <c r="O142" s="60">
        <f t="shared" si="86"/>
        <v>0.11262007466091398</v>
      </c>
      <c r="P142" s="13">
        <f t="shared" si="87"/>
        <v>6.689747871116547E-2</v>
      </c>
      <c r="Q142" s="60">
        <f t="shared" si="88"/>
        <v>0.10656850382800576</v>
      </c>
      <c r="R142" s="13">
        <f t="shared" si="89"/>
        <v>8.8779486643548483E-2</v>
      </c>
      <c r="S142" s="63">
        <f t="shared" si="90"/>
        <v>9.8514691836438087E-2</v>
      </c>
    </row>
    <row r="143" spans="1:19" x14ac:dyDescent="0.35">
      <c r="A143" s="136">
        <v>44488</v>
      </c>
      <c r="B143" s="141">
        <f t="shared" si="93"/>
        <v>444536518.75000006</v>
      </c>
      <c r="C143" s="184">
        <v>101438504.79000001</v>
      </c>
      <c r="D143" s="138">
        <v>15955694.07</v>
      </c>
      <c r="E143" s="141">
        <v>120819841.3</v>
      </c>
      <c r="F143" s="138">
        <v>52858068.88000001</v>
      </c>
      <c r="G143" s="141">
        <v>27537671.009999998</v>
      </c>
      <c r="H143" s="138">
        <v>44410390.359999999</v>
      </c>
      <c r="I143" s="141">
        <v>32693714.68</v>
      </c>
      <c r="J143" s="141">
        <v>48822633.660000004</v>
      </c>
      <c r="K143" s="12"/>
      <c r="L143" s="13">
        <f t="shared" si="83"/>
        <v>0.22818936242906815</v>
      </c>
      <c r="M143" s="60">
        <f t="shared" si="84"/>
        <v>3.5892875831362726E-2</v>
      </c>
      <c r="N143" s="13">
        <f t="shared" si="85"/>
        <v>0.27178833729956631</v>
      </c>
      <c r="O143" s="60">
        <f t="shared" si="86"/>
        <v>0.11890602155393787</v>
      </c>
      <c r="P143" s="13">
        <f t="shared" si="87"/>
        <v>6.1946926401983016E-2</v>
      </c>
      <c r="Q143" s="60">
        <f t="shared" si="88"/>
        <v>9.9902681752397637E-2</v>
      </c>
      <c r="R143" s="13">
        <f t="shared" si="89"/>
        <v>7.3545621790380739E-2</v>
      </c>
      <c r="S143" s="63">
        <f t="shared" si="90"/>
        <v>0.10982817294130348</v>
      </c>
    </row>
    <row r="144" spans="1:19" x14ac:dyDescent="0.35">
      <c r="A144" s="136">
        <v>44519</v>
      </c>
      <c r="B144" s="141">
        <f t="shared" si="93"/>
        <v>443496687.16400003</v>
      </c>
      <c r="C144" s="183">
        <v>96206317.270000011</v>
      </c>
      <c r="D144" s="138">
        <v>20543594.289999999</v>
      </c>
      <c r="E144" s="141">
        <v>130108122.86000001</v>
      </c>
      <c r="F144" s="138">
        <v>49714440.110000007</v>
      </c>
      <c r="G144" s="141">
        <v>25466259.059999999</v>
      </c>
      <c r="H144" s="138">
        <v>43777782.680000015</v>
      </c>
      <c r="I144" s="141">
        <v>31135936.949999999</v>
      </c>
      <c r="J144" s="141">
        <v>46544233.944000006</v>
      </c>
      <c r="K144" s="12"/>
      <c r="L144" s="13">
        <f t="shared" si="83"/>
        <v>0.21692680025459582</v>
      </c>
      <c r="M144" s="60">
        <f t="shared" si="84"/>
        <v>4.6321866396271887E-2</v>
      </c>
      <c r="N144" s="13">
        <f t="shared" si="85"/>
        <v>0.29336887202471368</v>
      </c>
      <c r="O144" s="60">
        <f t="shared" si="86"/>
        <v>0.11209653092992816</v>
      </c>
      <c r="P144" s="13">
        <f t="shared" si="87"/>
        <v>5.742153165302645E-2</v>
      </c>
      <c r="Q144" s="60">
        <f t="shared" si="88"/>
        <v>9.8710506632964962E-2</v>
      </c>
      <c r="R144" s="13">
        <f t="shared" si="89"/>
        <v>7.0205568274033764E-2</v>
      </c>
      <c r="S144" s="63">
        <f t="shared" si="90"/>
        <v>0.10494832383446526</v>
      </c>
    </row>
    <row r="145" spans="1:19" ht="15" thickBot="1" x14ac:dyDescent="0.4">
      <c r="A145" s="137">
        <v>44549</v>
      </c>
      <c r="B145" s="142">
        <f t="shared" si="93"/>
        <v>541396683.69000006</v>
      </c>
      <c r="C145" s="171">
        <v>113743509.09</v>
      </c>
      <c r="D145" s="139">
        <v>26021744.550000004</v>
      </c>
      <c r="E145" s="142">
        <v>178209925.55000001</v>
      </c>
      <c r="F145" s="139">
        <v>47966827.450000003</v>
      </c>
      <c r="G145" s="142">
        <v>33318814.269999996</v>
      </c>
      <c r="H145" s="139">
        <v>46895107.419999994</v>
      </c>
      <c r="I145" s="142">
        <v>38553448.920000002</v>
      </c>
      <c r="J145" s="142">
        <v>56687306.439999998</v>
      </c>
      <c r="K145" s="12"/>
      <c r="L145" s="57">
        <f t="shared" si="83"/>
        <v>0.21009273332588188</v>
      </c>
      <c r="M145" s="61">
        <f t="shared" si="84"/>
        <v>4.8064100379491562E-2</v>
      </c>
      <c r="N145" s="57">
        <f t="shared" si="85"/>
        <v>0.32916700622429701</v>
      </c>
      <c r="O145" s="61">
        <f t="shared" si="86"/>
        <v>8.8598303046616866E-2</v>
      </c>
      <c r="P145" s="57">
        <f t="shared" si="87"/>
        <v>6.1542331665034943E-2</v>
      </c>
      <c r="Q145" s="61">
        <f t="shared" si="88"/>
        <v>8.661875632554078E-2</v>
      </c>
      <c r="R145" s="57">
        <f t="shared" si="89"/>
        <v>7.1211091758507039E-2</v>
      </c>
      <c r="S145" s="64">
        <f t="shared" si="90"/>
        <v>0.10470567727462984</v>
      </c>
    </row>
    <row r="146" spans="1:19" x14ac:dyDescent="0.35">
      <c r="A146" s="53">
        <v>44562</v>
      </c>
      <c r="B146" s="144">
        <f>SUM(C146:J146)</f>
        <v>406169171.88</v>
      </c>
      <c r="C146" s="170">
        <v>92108762.980000004</v>
      </c>
      <c r="D146" s="168">
        <v>11425950.01</v>
      </c>
      <c r="E146" s="170">
        <v>101745707.05</v>
      </c>
      <c r="F146" s="168">
        <v>50590106.710000001</v>
      </c>
      <c r="G146" s="170">
        <v>31069893.210000005</v>
      </c>
      <c r="H146" s="168">
        <v>42109052.150000006</v>
      </c>
      <c r="I146" s="170">
        <v>31414975.010000002</v>
      </c>
      <c r="J146" s="144">
        <v>45704724.759999998</v>
      </c>
      <c r="K146" s="12"/>
      <c r="L146" s="65">
        <f t="shared" si="83"/>
        <v>0.22677438209715467</v>
      </c>
      <c r="M146" s="59">
        <f t="shared" si="84"/>
        <v>2.8131012398389804E-2</v>
      </c>
      <c r="N146" s="65">
        <f t="shared" si="85"/>
        <v>0.25050081122370382</v>
      </c>
      <c r="O146" s="59">
        <f t="shared" si="86"/>
        <v>0.12455427494863278</v>
      </c>
      <c r="P146" s="65">
        <f t="shared" si="87"/>
        <v>7.6494956685632956E-2</v>
      </c>
      <c r="Q146" s="59">
        <f t="shared" si="88"/>
        <v>0.10367367851945408</v>
      </c>
      <c r="R146" s="65">
        <f t="shared" si="89"/>
        <v>7.7344557846653492E-2</v>
      </c>
      <c r="S146" s="62">
        <f t="shared" si="90"/>
        <v>0.11252632628037845</v>
      </c>
    </row>
    <row r="147" spans="1:19" x14ac:dyDescent="0.35">
      <c r="A147" s="7">
        <v>44593</v>
      </c>
      <c r="B147" s="146">
        <f>SUM(C147:J147)</f>
        <v>402239307.08999997</v>
      </c>
      <c r="C147" s="151">
        <v>97332532.329999998</v>
      </c>
      <c r="D147" s="147">
        <v>14637437.649999999</v>
      </c>
      <c r="E147" s="146">
        <v>103528914.27000001</v>
      </c>
      <c r="F147" s="147">
        <v>47564648.229999989</v>
      </c>
      <c r="G147" s="146">
        <v>24365780.300000001</v>
      </c>
      <c r="H147" s="147">
        <v>41374893.870000005</v>
      </c>
      <c r="I147" s="146">
        <v>32514164.309999995</v>
      </c>
      <c r="J147" s="146">
        <v>40920936.130000003</v>
      </c>
      <c r="K147" s="12"/>
      <c r="L147" s="13">
        <f t="shared" ref="L147:L158" si="94">C147/$B147</f>
        <v>0.24197668058388461</v>
      </c>
      <c r="M147" s="60">
        <f t="shared" ref="M147:M158" si="95">D147/$B147</f>
        <v>3.6389873868604566E-2</v>
      </c>
      <c r="N147" s="13">
        <f t="shared" ref="N147:N158" si="96">E147/$B147</f>
        <v>0.25738139571435692</v>
      </c>
      <c r="O147" s="60">
        <f t="shared" ref="O147:O158" si="97">F147/$B147</f>
        <v>0.11824962750186303</v>
      </c>
      <c r="P147" s="13">
        <f t="shared" ref="P147:P158" si="98">G147/$B147</f>
        <v>6.0575333813779227E-2</v>
      </c>
      <c r="Q147" s="60">
        <f t="shared" ref="Q147:Q158" si="99">H147/$B147</f>
        <v>0.10286138908036276</v>
      </c>
      <c r="R147" s="13">
        <f t="shared" ref="R147:R158" si="100">I147/$B147</f>
        <v>8.0832886634634726E-2</v>
      </c>
      <c r="S147" s="63">
        <f t="shared" ref="S147:S158" si="101">J147/$B147</f>
        <v>0.10173281280251423</v>
      </c>
    </row>
    <row r="148" spans="1:19" x14ac:dyDescent="0.35">
      <c r="A148" s="7">
        <v>44621</v>
      </c>
      <c r="B148" s="146">
        <f t="shared" ref="B148:B180" si="102">SUM(C148:J148)</f>
        <v>489800678.44</v>
      </c>
      <c r="C148" s="151">
        <v>108053757.64</v>
      </c>
      <c r="D148" s="147">
        <v>19503306.34</v>
      </c>
      <c r="E148" s="146">
        <v>127542917.62</v>
      </c>
      <c r="F148" s="147">
        <v>57259221.309999995</v>
      </c>
      <c r="G148" s="146">
        <v>30751308.34</v>
      </c>
      <c r="H148" s="147">
        <v>53411704.329999998</v>
      </c>
      <c r="I148" s="146">
        <v>44165952.570000008</v>
      </c>
      <c r="J148" s="146">
        <v>49112510.290000007</v>
      </c>
      <c r="K148" s="12"/>
      <c r="L148" s="13">
        <f t="shared" si="94"/>
        <v>0.2206076112106416</v>
      </c>
      <c r="M148" s="60">
        <f t="shared" si="95"/>
        <v>3.9818863465272095E-2</v>
      </c>
      <c r="N148" s="13">
        <f t="shared" si="96"/>
        <v>0.26039759280493496</v>
      </c>
      <c r="O148" s="60">
        <f t="shared" si="97"/>
        <v>0.11690310738721074</v>
      </c>
      <c r="P148" s="13">
        <f t="shared" si="98"/>
        <v>6.2783311035709388E-2</v>
      </c>
      <c r="Q148" s="60">
        <f t="shared" si="99"/>
        <v>0.10904783656101626</v>
      </c>
      <c r="R148" s="13">
        <f t="shared" si="100"/>
        <v>9.0171276835849232E-2</v>
      </c>
      <c r="S148" s="63">
        <f t="shared" si="101"/>
        <v>0.10027040069936577</v>
      </c>
    </row>
    <row r="149" spans="1:19" x14ac:dyDescent="0.35">
      <c r="A149" s="7">
        <v>44652</v>
      </c>
      <c r="B149" s="146">
        <f t="shared" si="102"/>
        <v>474281532</v>
      </c>
      <c r="C149" s="151">
        <v>101500019</v>
      </c>
      <c r="D149" s="147">
        <v>18572294</v>
      </c>
      <c r="E149" s="146">
        <v>118561100</v>
      </c>
      <c r="F149" s="147">
        <v>54510209</v>
      </c>
      <c r="G149" s="146">
        <v>27172266</v>
      </c>
      <c r="H149" s="147">
        <v>52350028</v>
      </c>
      <c r="I149" s="146">
        <v>52584377</v>
      </c>
      <c r="J149" s="146">
        <v>49031239</v>
      </c>
      <c r="K149" s="12"/>
      <c r="L149" s="13">
        <f t="shared" si="94"/>
        <v>0.21400795129421146</v>
      </c>
      <c r="M149" s="60">
        <f t="shared" si="95"/>
        <v>3.9158796509917659E-2</v>
      </c>
      <c r="N149" s="13">
        <f t="shared" si="96"/>
        <v>0.24998042723704453</v>
      </c>
      <c r="O149" s="60">
        <f t="shared" si="97"/>
        <v>0.1149321770344623</v>
      </c>
      <c r="P149" s="13">
        <f t="shared" si="98"/>
        <v>5.7291427489105776E-2</v>
      </c>
      <c r="Q149" s="60">
        <f t="shared" si="99"/>
        <v>0.11037753837735348</v>
      </c>
      <c r="R149" s="13">
        <f t="shared" si="100"/>
        <v>0.11087165207183315</v>
      </c>
      <c r="S149" s="63">
        <f t="shared" si="101"/>
        <v>0.10338002998607165</v>
      </c>
    </row>
    <row r="150" spans="1:19" x14ac:dyDescent="0.35">
      <c r="A150" s="7">
        <v>44682</v>
      </c>
      <c r="B150" s="146">
        <f t="shared" si="102"/>
        <v>454024789</v>
      </c>
      <c r="C150" s="151">
        <v>104571089</v>
      </c>
      <c r="D150" s="147">
        <v>16994724</v>
      </c>
      <c r="E150" s="146">
        <v>114795346</v>
      </c>
      <c r="F150" s="147">
        <v>56564643</v>
      </c>
      <c r="G150" s="146">
        <v>24909479</v>
      </c>
      <c r="H150" s="147">
        <v>48741806</v>
      </c>
      <c r="I150" s="146">
        <v>43169083</v>
      </c>
      <c r="J150" s="146">
        <f>7866911+6648351+29763357</f>
        <v>44278619</v>
      </c>
      <c r="K150" s="12"/>
      <c r="L150" s="13">
        <f t="shared" si="94"/>
        <v>0.2303202193658197</v>
      </c>
      <c r="M150" s="60">
        <f t="shared" si="95"/>
        <v>3.743126897857553E-2</v>
      </c>
      <c r="N150" s="13">
        <f t="shared" si="96"/>
        <v>0.25283937965774816</v>
      </c>
      <c r="O150" s="60">
        <f t="shared" si="97"/>
        <v>0.12458492216820347</v>
      </c>
      <c r="P150" s="13">
        <f t="shared" si="98"/>
        <v>5.4863698202170193E-2</v>
      </c>
      <c r="Q150" s="60">
        <f t="shared" si="99"/>
        <v>0.10735494444555538</v>
      </c>
      <c r="R150" s="13">
        <f t="shared" si="100"/>
        <v>9.508089436059404E-2</v>
      </c>
      <c r="S150" s="63">
        <f t="shared" si="101"/>
        <v>9.752467282133355E-2</v>
      </c>
    </row>
    <row r="151" spans="1:19" x14ac:dyDescent="0.35">
      <c r="A151" s="7">
        <v>44713</v>
      </c>
      <c r="B151" s="146">
        <f t="shared" si="102"/>
        <v>489329027</v>
      </c>
      <c r="C151" s="151">
        <v>104705771</v>
      </c>
      <c r="D151" s="169">
        <v>17072571</v>
      </c>
      <c r="E151" s="151">
        <v>122767164</v>
      </c>
      <c r="F151" s="169">
        <v>59058862</v>
      </c>
      <c r="G151" s="151">
        <v>28970172</v>
      </c>
      <c r="H151" s="169">
        <v>51678678</v>
      </c>
      <c r="I151" s="151">
        <v>56158951</v>
      </c>
      <c r="J151" s="151">
        <f>28908356+9018800+10989702</f>
        <v>48916858</v>
      </c>
      <c r="K151" s="12"/>
      <c r="L151" s="13">
        <f t="shared" si="94"/>
        <v>0.21397825434950132</v>
      </c>
      <c r="M151" s="60">
        <f t="shared" si="95"/>
        <v>3.488975731660407E-2</v>
      </c>
      <c r="N151" s="13">
        <f t="shared" si="96"/>
        <v>0.25088878285571231</v>
      </c>
      <c r="O151" s="60">
        <f t="shared" si="97"/>
        <v>0.12069355942785712</v>
      </c>
      <c r="P151" s="13">
        <f t="shared" si="98"/>
        <v>5.9203869792093897E-2</v>
      </c>
      <c r="Q151" s="60">
        <f t="shared" si="99"/>
        <v>0.10561130680686147</v>
      </c>
      <c r="R151" s="13">
        <f t="shared" si="100"/>
        <v>0.11476725863638577</v>
      </c>
      <c r="S151" s="63">
        <f t="shared" si="101"/>
        <v>9.9967210814983998E-2</v>
      </c>
    </row>
    <row r="152" spans="1:19" x14ac:dyDescent="0.35">
      <c r="A152" s="7">
        <v>44743</v>
      </c>
      <c r="B152" s="146">
        <f t="shared" si="102"/>
        <v>443365230</v>
      </c>
      <c r="C152" s="143">
        <v>97490976</v>
      </c>
      <c r="D152" s="138">
        <v>15221734</v>
      </c>
      <c r="E152" s="141">
        <v>112918874</v>
      </c>
      <c r="F152" s="138">
        <v>54309449</v>
      </c>
      <c r="G152" s="141">
        <v>27921621</v>
      </c>
      <c r="H152" s="138">
        <v>46256123</v>
      </c>
      <c r="I152" s="141">
        <v>44638050</v>
      </c>
      <c r="J152" s="141">
        <f>7989166+6779478+29839759</f>
        <v>44608403</v>
      </c>
      <c r="K152" s="12"/>
      <c r="L152" s="13">
        <f t="shared" si="94"/>
        <v>0.21988863673409842</v>
      </c>
      <c r="M152" s="60">
        <f t="shared" si="95"/>
        <v>3.4332268229513623E-2</v>
      </c>
      <c r="N152" s="13">
        <f t="shared" si="96"/>
        <v>0.2546859030871681</v>
      </c>
      <c r="O152" s="60">
        <f t="shared" si="97"/>
        <v>0.1224937034417426</v>
      </c>
      <c r="P152" s="13">
        <f t="shared" si="98"/>
        <v>6.2976569001588142E-2</v>
      </c>
      <c r="Q152" s="60">
        <f t="shared" si="99"/>
        <v>0.1043296133077463</v>
      </c>
      <c r="R152" s="13">
        <f t="shared" si="100"/>
        <v>0.10068008715974412</v>
      </c>
      <c r="S152" s="63">
        <f t="shared" si="101"/>
        <v>0.10061321903839866</v>
      </c>
    </row>
    <row r="153" spans="1:19" x14ac:dyDescent="0.35">
      <c r="A153" s="7">
        <v>44774</v>
      </c>
      <c r="B153" s="146">
        <f t="shared" si="102"/>
        <v>443846584</v>
      </c>
      <c r="C153" s="143">
        <v>100770563</v>
      </c>
      <c r="D153" s="138">
        <v>16228662</v>
      </c>
      <c r="E153" s="141">
        <v>117211229</v>
      </c>
      <c r="F153" s="138">
        <v>59733173</v>
      </c>
      <c r="G153" s="141">
        <v>23096455</v>
      </c>
      <c r="H153" s="138">
        <v>30410268</v>
      </c>
      <c r="I153" s="141">
        <v>44582201</v>
      </c>
      <c r="J153" s="141">
        <f>'Manufacturing - City'!H153+'Utilities - City'!H153+'Miscellaneous - City'!K153</f>
        <v>51814033</v>
      </c>
      <c r="K153" s="12"/>
      <c r="L153" s="13">
        <f t="shared" si="94"/>
        <v>0.22703917667191059</v>
      </c>
      <c r="M153" s="60">
        <f t="shared" si="95"/>
        <v>3.6563674442969242E-2</v>
      </c>
      <c r="N153" s="13">
        <f t="shared" si="96"/>
        <v>0.26408050264503108</v>
      </c>
      <c r="O153" s="60">
        <f t="shared" si="97"/>
        <v>0.13458067529027101</v>
      </c>
      <c r="P153" s="13">
        <f t="shared" si="98"/>
        <v>5.2037023225124109E-2</v>
      </c>
      <c r="Q153" s="60">
        <f t="shared" si="99"/>
        <v>6.8515268780349567E-2</v>
      </c>
      <c r="R153" s="13">
        <f t="shared" si="100"/>
        <v>0.10044506955132948</v>
      </c>
      <c r="S153" s="63">
        <f t="shared" si="101"/>
        <v>0.11673860939301495</v>
      </c>
    </row>
    <row r="154" spans="1:19" x14ac:dyDescent="0.35">
      <c r="A154" s="7">
        <v>44805</v>
      </c>
      <c r="B154" s="146">
        <f t="shared" si="102"/>
        <v>453705120.65999997</v>
      </c>
      <c r="C154" s="143">
        <v>98838889.109999985</v>
      </c>
      <c r="D154" s="138">
        <v>16602716.729999999</v>
      </c>
      <c r="E154" s="141">
        <v>117442846.86</v>
      </c>
      <c r="F154" s="138">
        <v>53885412.170000002</v>
      </c>
      <c r="G154" s="141">
        <v>24889831.84</v>
      </c>
      <c r="H154" s="138">
        <v>49509597.249999993</v>
      </c>
      <c r="I154" s="141">
        <v>44560795.719999999</v>
      </c>
      <c r="J154" s="141">
        <v>47975030.979999997</v>
      </c>
      <c r="K154" s="12"/>
      <c r="L154" s="13">
        <f t="shared" si="94"/>
        <v>0.21784829971991526</v>
      </c>
      <c r="M154" s="60">
        <f t="shared" si="95"/>
        <v>3.6593628711635885E-2</v>
      </c>
      <c r="N154" s="13">
        <f t="shared" si="96"/>
        <v>0.25885281323066656</v>
      </c>
      <c r="O154" s="60">
        <f t="shared" si="97"/>
        <v>0.11876747631063425</v>
      </c>
      <c r="P154" s="13">
        <f t="shared" si="98"/>
        <v>5.4859049868762839E-2</v>
      </c>
      <c r="Q154" s="60">
        <f t="shared" si="99"/>
        <v>0.1091228531385736</v>
      </c>
      <c r="R154" s="13">
        <f t="shared" si="100"/>
        <v>9.8215324647819457E-2</v>
      </c>
      <c r="S154" s="63">
        <f t="shared" si="101"/>
        <v>0.10574055437199217</v>
      </c>
    </row>
    <row r="155" spans="1:19" x14ac:dyDescent="0.35">
      <c r="A155" s="7">
        <v>44835</v>
      </c>
      <c r="B155" s="146">
        <f t="shared" si="102"/>
        <v>460890210</v>
      </c>
      <c r="C155" s="184">
        <v>101678216</v>
      </c>
      <c r="D155" s="138">
        <v>15554102</v>
      </c>
      <c r="E155" s="141">
        <v>117904156</v>
      </c>
      <c r="F155" s="138">
        <v>54625431</v>
      </c>
      <c r="G155" s="141">
        <v>29360275</v>
      </c>
      <c r="H155" s="138">
        <v>44477833</v>
      </c>
      <c r="I155" s="141">
        <v>43542557</v>
      </c>
      <c r="J155" s="141">
        <v>53747640</v>
      </c>
      <c r="K155" s="12"/>
      <c r="L155" s="13">
        <f t="shared" si="94"/>
        <v>0.22061266174432301</v>
      </c>
      <c r="M155" s="60">
        <f t="shared" si="95"/>
        <v>3.3747954854584566E-2</v>
      </c>
      <c r="N155" s="13">
        <f t="shared" si="96"/>
        <v>0.25581831299909796</v>
      </c>
      <c r="O155" s="60">
        <f t="shared" si="97"/>
        <v>0.11852156937766155</v>
      </c>
      <c r="P155" s="13">
        <f t="shared" si="98"/>
        <v>6.3703403463484284E-2</v>
      </c>
      <c r="Q155" s="60">
        <f t="shared" si="99"/>
        <v>9.650418263386415E-2</v>
      </c>
      <c r="R155" s="13">
        <f t="shared" si="100"/>
        <v>9.4474901083275345E-2</v>
      </c>
      <c r="S155" s="63">
        <f t="shared" si="101"/>
        <v>0.11661701384370911</v>
      </c>
    </row>
    <row r="156" spans="1:19" x14ac:dyDescent="0.35">
      <c r="A156" s="7">
        <v>44866</v>
      </c>
      <c r="B156" s="146">
        <f t="shared" si="102"/>
        <v>451522038</v>
      </c>
      <c r="C156" s="183">
        <v>102050634</v>
      </c>
      <c r="D156" s="138">
        <v>18720083</v>
      </c>
      <c r="E156" s="141">
        <v>127624768</v>
      </c>
      <c r="F156" s="138">
        <v>53386447</v>
      </c>
      <c r="G156" s="141">
        <v>22597372</v>
      </c>
      <c r="H156" s="138">
        <v>33478075</v>
      </c>
      <c r="I156" s="141">
        <v>45201317</v>
      </c>
      <c r="J156" s="141">
        <v>48463342</v>
      </c>
      <c r="K156" s="12"/>
      <c r="L156" s="13">
        <f t="shared" si="94"/>
        <v>0.22601473551995263</v>
      </c>
      <c r="M156" s="60">
        <f t="shared" si="95"/>
        <v>4.1459954165072227E-2</v>
      </c>
      <c r="N156" s="13">
        <f t="shared" si="96"/>
        <v>0.28265457111530845</v>
      </c>
      <c r="O156" s="60">
        <f t="shared" si="97"/>
        <v>0.11823663632560057</v>
      </c>
      <c r="P156" s="13">
        <f t="shared" si="98"/>
        <v>5.0047107556685858E-2</v>
      </c>
      <c r="Q156" s="60">
        <f t="shared" si="99"/>
        <v>7.4144941292987349E-2</v>
      </c>
      <c r="R156" s="13">
        <f t="shared" si="100"/>
        <v>0.1001087725423493</v>
      </c>
      <c r="S156" s="63">
        <f t="shared" si="101"/>
        <v>0.10733328148204363</v>
      </c>
    </row>
    <row r="157" spans="1:19" ht="15" thickBot="1" x14ac:dyDescent="0.4">
      <c r="A157" s="15">
        <v>44896</v>
      </c>
      <c r="B157" s="149">
        <f t="shared" si="102"/>
        <v>551975335</v>
      </c>
      <c r="C157" s="171">
        <v>122228398</v>
      </c>
      <c r="D157" s="139">
        <v>27095599</v>
      </c>
      <c r="E157" s="142">
        <v>165868214</v>
      </c>
      <c r="F157" s="139">
        <v>52537936</v>
      </c>
      <c r="G157" s="142">
        <v>27843316</v>
      </c>
      <c r="H157" s="139">
        <v>43037789</v>
      </c>
      <c r="I157" s="142">
        <v>53836822</v>
      </c>
      <c r="J157" s="142">
        <v>59527261</v>
      </c>
      <c r="K157" s="12"/>
      <c r="L157" s="57">
        <f t="shared" si="94"/>
        <v>0.22143815176089346</v>
      </c>
      <c r="M157" s="61">
        <f t="shared" si="95"/>
        <v>4.9088423489067674E-2</v>
      </c>
      <c r="N157" s="57">
        <f t="shared" si="96"/>
        <v>0.30049932213003683</v>
      </c>
      <c r="O157" s="61">
        <f t="shared" si="97"/>
        <v>9.5181673289803786E-2</v>
      </c>
      <c r="P157" s="57">
        <f t="shared" si="98"/>
        <v>5.0443043800136471E-2</v>
      </c>
      <c r="Q157" s="61">
        <f t="shared" si="99"/>
        <v>7.7970493011250225E-2</v>
      </c>
      <c r="R157" s="57">
        <f t="shared" si="100"/>
        <v>9.7534832783787342E-2</v>
      </c>
      <c r="S157" s="64">
        <f t="shared" si="101"/>
        <v>0.10784405973502421</v>
      </c>
    </row>
    <row r="158" spans="1:19" x14ac:dyDescent="0.35">
      <c r="A158" s="53">
        <v>44927</v>
      </c>
      <c r="B158" s="298">
        <f t="shared" si="102"/>
        <v>431215608</v>
      </c>
      <c r="C158" s="170">
        <v>99536133</v>
      </c>
      <c r="D158" s="168">
        <v>12624960</v>
      </c>
      <c r="E158" s="170">
        <v>106314667</v>
      </c>
      <c r="F158" s="168">
        <v>53887094</v>
      </c>
      <c r="G158" s="170">
        <v>21992009</v>
      </c>
      <c r="H158" s="168">
        <v>40271097</v>
      </c>
      <c r="I158" s="170">
        <v>46879629</v>
      </c>
      <c r="J158" s="144">
        <v>49710019</v>
      </c>
      <c r="K158" s="12"/>
      <c r="L158" s="65">
        <f t="shared" si="94"/>
        <v>0.23082683268737342</v>
      </c>
      <c r="M158" s="59">
        <f t="shared" si="95"/>
        <v>2.9277604441442204E-2</v>
      </c>
      <c r="N158" s="65">
        <f t="shared" si="96"/>
        <v>0.24654642602825266</v>
      </c>
      <c r="O158" s="59">
        <f t="shared" si="97"/>
        <v>0.12496554623783469</v>
      </c>
      <c r="P158" s="65">
        <f t="shared" si="98"/>
        <v>5.1000030128779572E-2</v>
      </c>
      <c r="Q158" s="59">
        <f t="shared" si="99"/>
        <v>9.3389701701149921E-2</v>
      </c>
      <c r="R158" s="65">
        <f t="shared" si="100"/>
        <v>0.10871505606541032</v>
      </c>
      <c r="S158" s="62">
        <f t="shared" si="101"/>
        <v>0.1152788027097572</v>
      </c>
    </row>
    <row r="159" spans="1:19" x14ac:dyDescent="0.35">
      <c r="A159" s="7">
        <v>44958</v>
      </c>
      <c r="B159" s="146">
        <f t="shared" si="102"/>
        <v>430368716</v>
      </c>
      <c r="C159" s="151">
        <v>102927293</v>
      </c>
      <c r="D159" s="147">
        <v>14648362</v>
      </c>
      <c r="E159" s="146">
        <v>108416113</v>
      </c>
      <c r="F159" s="147">
        <v>49372391</v>
      </c>
      <c r="G159" s="146">
        <v>23548244</v>
      </c>
      <c r="H159" s="147">
        <v>35558689</v>
      </c>
      <c r="I159" s="146">
        <v>50283855</v>
      </c>
      <c r="J159" s="146">
        <v>45613769</v>
      </c>
      <c r="K159" s="12"/>
      <c r="L159" s="13">
        <f t="shared" ref="L159:L180" si="103">C159/$B159</f>
        <v>0.23916072236068386</v>
      </c>
      <c r="M159" s="60">
        <f t="shared" ref="M159:M172" si="104">D159/$B159</f>
        <v>3.4036772319668326E-2</v>
      </c>
      <c r="N159" s="13">
        <f t="shared" ref="N159:N172" si="105">E159/$B159</f>
        <v>0.25191448395147753</v>
      </c>
      <c r="O159" s="60">
        <f t="shared" ref="O159:O172" si="106">F159/$B159</f>
        <v>0.11472114297452791</v>
      </c>
      <c r="P159" s="13">
        <f t="shared" ref="P159:P172" si="107">G159/$B159</f>
        <v>5.4716439937516279E-2</v>
      </c>
      <c r="Q159" s="60">
        <f t="shared" ref="Q159:Q172" si="108">H159/$B159</f>
        <v>8.2623777421591216E-2</v>
      </c>
      <c r="R159" s="13">
        <f t="shared" ref="R159:R172" si="109">I159/$B159</f>
        <v>0.11683901066823825</v>
      </c>
      <c r="S159" s="63">
        <f t="shared" ref="S159:S172" si="110">J159/$B159</f>
        <v>0.10598765036629661</v>
      </c>
    </row>
    <row r="160" spans="1:19" x14ac:dyDescent="0.35">
      <c r="A160" s="7">
        <v>44986</v>
      </c>
      <c r="B160" s="146">
        <f t="shared" si="102"/>
        <v>509897292</v>
      </c>
      <c r="C160" s="151">
        <v>115205137</v>
      </c>
      <c r="D160" s="147">
        <v>19633913</v>
      </c>
      <c r="E160" s="146">
        <v>131159462</v>
      </c>
      <c r="F160" s="147">
        <v>61555018</v>
      </c>
      <c r="G160" s="146">
        <v>24786714</v>
      </c>
      <c r="H160" s="147">
        <v>54304571</v>
      </c>
      <c r="I160" s="146">
        <v>51932471</v>
      </c>
      <c r="J160" s="146">
        <v>51320006</v>
      </c>
      <c r="K160" s="12"/>
      <c r="L160" s="13">
        <f t="shared" si="103"/>
        <v>0.22593792673054636</v>
      </c>
      <c r="M160" s="60">
        <f t="shared" si="104"/>
        <v>3.850562320695753E-2</v>
      </c>
      <c r="N160" s="13">
        <f t="shared" si="105"/>
        <v>0.25722721822182182</v>
      </c>
      <c r="O160" s="60">
        <f t="shared" si="106"/>
        <v>0.12072042539892525</v>
      </c>
      <c r="P160" s="13">
        <f t="shared" si="107"/>
        <v>4.8611189721713605E-2</v>
      </c>
      <c r="Q160" s="60">
        <f t="shared" si="108"/>
        <v>0.1065009990286436</v>
      </c>
      <c r="R160" s="13">
        <f t="shared" si="109"/>
        <v>0.10184888567715712</v>
      </c>
      <c r="S160" s="63">
        <f t="shared" si="110"/>
        <v>0.10064773201423474</v>
      </c>
    </row>
    <row r="161" spans="1:19" x14ac:dyDescent="0.35">
      <c r="A161" s="7">
        <v>45017</v>
      </c>
      <c r="B161" s="146">
        <f t="shared" si="102"/>
        <v>453225724</v>
      </c>
      <c r="C161" s="151">
        <v>113396554</v>
      </c>
      <c r="D161" s="147">
        <v>16278958</v>
      </c>
      <c r="E161" s="146">
        <v>114164864</v>
      </c>
      <c r="F161" s="147">
        <v>53169162</v>
      </c>
      <c r="G161" s="146">
        <v>21660587</v>
      </c>
      <c r="H161" s="147">
        <v>40971335</v>
      </c>
      <c r="I161" s="146">
        <v>47764684</v>
      </c>
      <c r="J161" s="146">
        <v>45819580</v>
      </c>
      <c r="K161" s="12"/>
      <c r="L161" s="13">
        <f t="shared" si="103"/>
        <v>0.25019884793653063</v>
      </c>
      <c r="M161" s="60">
        <f t="shared" si="104"/>
        <v>3.5917992157038288E-2</v>
      </c>
      <c r="N161" s="13">
        <f t="shared" si="105"/>
        <v>0.25189405180364388</v>
      </c>
      <c r="O161" s="60">
        <f t="shared" si="106"/>
        <v>0.11731276312109769</v>
      </c>
      <c r="P161" s="13">
        <f t="shared" si="107"/>
        <v>4.7792051185514793E-2</v>
      </c>
      <c r="Q161" s="60">
        <f t="shared" si="108"/>
        <v>9.0399403278354079E-2</v>
      </c>
      <c r="R161" s="13">
        <f t="shared" si="109"/>
        <v>0.10538828991974869</v>
      </c>
      <c r="S161" s="63">
        <f t="shared" si="110"/>
        <v>0.10109660059807196</v>
      </c>
    </row>
    <row r="162" spans="1:19" x14ac:dyDescent="0.35">
      <c r="A162" s="7">
        <v>45047</v>
      </c>
      <c r="B162" s="146">
        <f t="shared" si="102"/>
        <v>473201966</v>
      </c>
      <c r="C162" s="151">
        <v>109133381</v>
      </c>
      <c r="D162" s="147">
        <v>15840122</v>
      </c>
      <c r="E162" s="146">
        <v>120237652</v>
      </c>
      <c r="F162" s="147">
        <v>59236047</v>
      </c>
      <c r="G162" s="146">
        <v>21887286</v>
      </c>
      <c r="H162" s="147">
        <v>48796902</v>
      </c>
      <c r="I162" s="146">
        <v>49355719</v>
      </c>
      <c r="J162" s="146">
        <v>48714857</v>
      </c>
      <c r="K162" s="12"/>
      <c r="L162" s="13">
        <f t="shared" si="103"/>
        <v>0.23062748855950443</v>
      </c>
      <c r="M162" s="60">
        <f t="shared" si="104"/>
        <v>3.3474336833165232E-2</v>
      </c>
      <c r="N162" s="13">
        <f t="shared" si="105"/>
        <v>0.25409372876527736</v>
      </c>
      <c r="O162" s="60">
        <f t="shared" si="106"/>
        <v>0.12518132056957684</v>
      </c>
      <c r="P162" s="13">
        <f t="shared" si="107"/>
        <v>4.6253582133257663E-2</v>
      </c>
      <c r="Q162" s="60">
        <f t="shared" si="108"/>
        <v>0.10312066624000459</v>
      </c>
      <c r="R162" s="13">
        <f t="shared" si="109"/>
        <v>0.10430159328627979</v>
      </c>
      <c r="S162" s="63">
        <f t="shared" si="110"/>
        <v>0.10294728361293411</v>
      </c>
    </row>
    <row r="163" spans="1:19" x14ac:dyDescent="0.35">
      <c r="A163" s="7">
        <v>45078</v>
      </c>
      <c r="B163" s="146">
        <f t="shared" si="102"/>
        <v>495213715</v>
      </c>
      <c r="C163" s="151">
        <v>107348524</v>
      </c>
      <c r="D163" s="169">
        <v>17070813</v>
      </c>
      <c r="E163" s="151">
        <v>124462568</v>
      </c>
      <c r="F163" s="169">
        <v>63835500</v>
      </c>
      <c r="G163" s="151">
        <v>23629745</v>
      </c>
      <c r="H163" s="169">
        <v>52042717</v>
      </c>
      <c r="I163" s="151">
        <v>53307895</v>
      </c>
      <c r="J163" s="151">
        <v>53515953</v>
      </c>
      <c r="K163" s="12"/>
      <c r="L163" s="13">
        <f t="shared" si="103"/>
        <v>0.2167721142375873</v>
      </c>
      <c r="M163" s="60">
        <f t="shared" si="104"/>
        <v>3.4471607879438475E-2</v>
      </c>
      <c r="N163" s="13">
        <f t="shared" si="105"/>
        <v>0.2513310197800156</v>
      </c>
      <c r="O163" s="60">
        <f t="shared" si="106"/>
        <v>0.1289049516732387</v>
      </c>
      <c r="P163" s="13">
        <f t="shared" si="107"/>
        <v>4.7716257212302771E-2</v>
      </c>
      <c r="Q163" s="60">
        <f t="shared" si="108"/>
        <v>0.10509142906108729</v>
      </c>
      <c r="R163" s="13">
        <f t="shared" si="109"/>
        <v>0.10764624117892212</v>
      </c>
      <c r="S163" s="63">
        <f t="shared" si="110"/>
        <v>0.10806637897740777</v>
      </c>
    </row>
    <row r="164" spans="1:19" x14ac:dyDescent="0.35">
      <c r="A164" s="7">
        <v>45108</v>
      </c>
      <c r="B164" s="146">
        <f t="shared" si="102"/>
        <v>450689213</v>
      </c>
      <c r="C164" s="143">
        <v>103531306</v>
      </c>
      <c r="D164" s="138">
        <v>14493908</v>
      </c>
      <c r="E164" s="141">
        <v>119873190</v>
      </c>
      <c r="F164" s="138">
        <v>55277919</v>
      </c>
      <c r="G164" s="141">
        <v>23744127</v>
      </c>
      <c r="H164" s="138">
        <v>46770224</v>
      </c>
      <c r="I164" s="141">
        <v>41415271</v>
      </c>
      <c r="J164" s="141">
        <v>45583268</v>
      </c>
      <c r="K164" s="12"/>
      <c r="L164" s="13">
        <f t="shared" si="103"/>
        <v>0.22971773677662882</v>
      </c>
      <c r="M164" s="60">
        <f t="shared" si="104"/>
        <v>3.2159429562384489E-2</v>
      </c>
      <c r="N164" s="13">
        <f t="shared" si="105"/>
        <v>0.26597749966560658</v>
      </c>
      <c r="O164" s="60">
        <f t="shared" si="106"/>
        <v>0.12265196815349561</v>
      </c>
      <c r="P164" s="13">
        <f t="shared" si="107"/>
        <v>5.2684036615715496E-2</v>
      </c>
      <c r="Q164" s="60">
        <f t="shared" si="108"/>
        <v>0.10377489110217511</v>
      </c>
      <c r="R164" s="13">
        <f t="shared" si="109"/>
        <v>9.1893193370039677E-2</v>
      </c>
      <c r="S164" s="63">
        <f t="shared" si="110"/>
        <v>0.10114124475395421</v>
      </c>
    </row>
    <row r="165" spans="1:19" x14ac:dyDescent="0.35">
      <c r="A165" s="7">
        <v>45139</v>
      </c>
      <c r="B165" s="146">
        <f t="shared" si="102"/>
        <v>475960600</v>
      </c>
      <c r="C165" s="8">
        <v>104740262</v>
      </c>
      <c r="D165" s="138">
        <v>15416681</v>
      </c>
      <c r="E165" s="141">
        <v>120376558</v>
      </c>
      <c r="F165" s="138">
        <v>62231821</v>
      </c>
      <c r="G165" s="141">
        <v>24563704</v>
      </c>
      <c r="H165" s="138">
        <v>49010097</v>
      </c>
      <c r="I165" s="141">
        <v>47508130</v>
      </c>
      <c r="J165" s="141">
        <v>52113347</v>
      </c>
      <c r="K165" s="12"/>
      <c r="L165" s="13">
        <f>C166/$B165</f>
        <v>0.22768350573555879</v>
      </c>
      <c r="M165" s="60">
        <f t="shared" si="104"/>
        <v>3.2390666370283594E-2</v>
      </c>
      <c r="N165" s="13">
        <f t="shared" si="105"/>
        <v>0.25291286295546311</v>
      </c>
      <c r="O165" s="60">
        <f t="shared" si="106"/>
        <v>0.130749942327159</v>
      </c>
      <c r="P165" s="13">
        <f t="shared" si="107"/>
        <v>5.1608691979966412E-2</v>
      </c>
      <c r="Q165" s="60">
        <f t="shared" si="108"/>
        <v>0.10297091187799999</v>
      </c>
      <c r="R165" s="13">
        <f t="shared" si="109"/>
        <v>9.9815257817558845E-2</v>
      </c>
      <c r="S165" s="63">
        <f t="shared" si="110"/>
        <v>0.10949088432950123</v>
      </c>
    </row>
    <row r="166" spans="1:19" x14ac:dyDescent="0.35">
      <c r="A166" s="7">
        <v>45170</v>
      </c>
      <c r="B166" s="146">
        <f>SUM(C166:J166)</f>
        <v>464281762</v>
      </c>
      <c r="C166" s="143">
        <v>108368378</v>
      </c>
      <c r="D166" s="138">
        <v>17045780</v>
      </c>
      <c r="E166" s="141">
        <v>114491124</v>
      </c>
      <c r="F166" s="138">
        <v>55569121</v>
      </c>
      <c r="G166" s="141">
        <v>23314565</v>
      </c>
      <c r="H166" s="138">
        <v>42759103</v>
      </c>
      <c r="I166" s="141">
        <v>46430582</v>
      </c>
      <c r="J166" s="141">
        <v>56303109</v>
      </c>
      <c r="K166" s="12"/>
      <c r="L166" s="13">
        <f>C166/$B166</f>
        <v>0.23341080109022244</v>
      </c>
      <c r="M166" s="60">
        <f t="shared" si="104"/>
        <v>3.671430022702464E-2</v>
      </c>
      <c r="N166" s="13">
        <f t="shared" si="105"/>
        <v>0.24659836627396964</v>
      </c>
      <c r="O166" s="60">
        <f t="shared" si="106"/>
        <v>0.11968835639940559</v>
      </c>
      <c r="P166" s="13">
        <f t="shared" si="107"/>
        <v>5.0216413626861356E-2</v>
      </c>
      <c r="Q166" s="60">
        <f t="shared" si="108"/>
        <v>9.2097313527469554E-2</v>
      </c>
      <c r="R166" s="13">
        <f t="shared" si="109"/>
        <v>0.10000518176718731</v>
      </c>
      <c r="S166" s="63">
        <f t="shared" si="110"/>
        <v>0.12126926708785946</v>
      </c>
    </row>
    <row r="167" spans="1:19" x14ac:dyDescent="0.35">
      <c r="A167" s="7">
        <v>45200</v>
      </c>
      <c r="B167" s="146">
        <f t="shared" si="102"/>
        <v>455279005</v>
      </c>
      <c r="C167" s="184">
        <v>106313844</v>
      </c>
      <c r="D167" s="138">
        <v>15425104</v>
      </c>
      <c r="E167" s="141">
        <v>117662502</v>
      </c>
      <c r="F167" s="138">
        <v>57586315</v>
      </c>
      <c r="G167" s="141">
        <v>22610094</v>
      </c>
      <c r="H167" s="138">
        <v>39665678</v>
      </c>
      <c r="I167" s="141">
        <v>48031742</v>
      </c>
      <c r="J167" s="141">
        <v>47983726</v>
      </c>
      <c r="K167" s="12"/>
      <c r="L167" s="13">
        <f t="shared" si="103"/>
        <v>0.23351360996758461</v>
      </c>
      <c r="M167" s="60">
        <f t="shared" si="104"/>
        <v>3.3880551992508418E-2</v>
      </c>
      <c r="N167" s="13">
        <f t="shared" si="105"/>
        <v>0.25844043039059095</v>
      </c>
      <c r="O167" s="60">
        <f t="shared" si="106"/>
        <v>0.1264857688748463</v>
      </c>
      <c r="P167" s="13">
        <f t="shared" si="107"/>
        <v>4.9662061618677103E-2</v>
      </c>
      <c r="Q167" s="60">
        <f t="shared" si="108"/>
        <v>8.7123890107781266E-2</v>
      </c>
      <c r="R167" s="13">
        <f t="shared" si="109"/>
        <v>0.1054995760237176</v>
      </c>
      <c r="S167" s="63">
        <f t="shared" si="110"/>
        <v>0.10539411102429377</v>
      </c>
    </row>
    <row r="168" spans="1:19" x14ac:dyDescent="0.35">
      <c r="A168" s="7">
        <v>45231</v>
      </c>
      <c r="B168" s="146">
        <f t="shared" si="102"/>
        <v>466156429</v>
      </c>
      <c r="C168" s="183">
        <v>107464176</v>
      </c>
      <c r="D168" s="138">
        <v>18725859</v>
      </c>
      <c r="E168" s="141">
        <v>133629395</v>
      </c>
      <c r="F168" s="138">
        <v>53957451</v>
      </c>
      <c r="G168" s="141">
        <v>22915058</v>
      </c>
      <c r="H168" s="138">
        <v>31076813</v>
      </c>
      <c r="I168" s="141">
        <v>45736366</v>
      </c>
      <c r="J168" s="141">
        <v>52651311</v>
      </c>
      <c r="K168" s="12"/>
      <c r="L168" s="13">
        <f t="shared" si="103"/>
        <v>0.23053243356641553</v>
      </c>
      <c r="M168" s="60">
        <f t="shared" si="104"/>
        <v>4.0170762076950785E-2</v>
      </c>
      <c r="N168" s="13">
        <f t="shared" si="105"/>
        <v>0.28666213032106441</v>
      </c>
      <c r="O168" s="60">
        <f t="shared" si="106"/>
        <v>0.11574966608472968</v>
      </c>
      <c r="P168" s="13">
        <f t="shared" si="107"/>
        <v>4.9157442811970743E-2</v>
      </c>
      <c r="Q168" s="60">
        <f t="shared" si="108"/>
        <v>6.6666061147469452E-2</v>
      </c>
      <c r="R168" s="13">
        <f t="shared" si="109"/>
        <v>9.8113772876872632E-2</v>
      </c>
      <c r="S168" s="63">
        <f t="shared" si="110"/>
        <v>0.11294773111452679</v>
      </c>
    </row>
    <row r="169" spans="1:19" ht="15" thickBot="1" x14ac:dyDescent="0.4">
      <c r="A169" s="15">
        <v>45261</v>
      </c>
      <c r="B169" s="149">
        <f>SUM(C169:J169)</f>
        <v>551136273</v>
      </c>
      <c r="C169" s="171">
        <v>130096426</v>
      </c>
      <c r="D169" s="139">
        <v>27295311</v>
      </c>
      <c r="E169" s="142">
        <v>169396118</v>
      </c>
      <c r="F169" s="139">
        <v>51130498</v>
      </c>
      <c r="G169" s="142">
        <v>24582657</v>
      </c>
      <c r="H169" s="139">
        <v>36843507</v>
      </c>
      <c r="I169" s="142">
        <v>49862208</v>
      </c>
      <c r="J169" s="142">
        <v>61929548</v>
      </c>
      <c r="K169" s="12"/>
      <c r="L169" s="57">
        <f t="shared" si="103"/>
        <v>0.23605128599474345</v>
      </c>
      <c r="M169" s="61">
        <f t="shared" si="104"/>
        <v>4.9525520886918653E-2</v>
      </c>
      <c r="N169" s="57">
        <f t="shared" si="105"/>
        <v>0.30735795537086708</v>
      </c>
      <c r="O169" s="61">
        <f t="shared" si="106"/>
        <v>9.2772877607349938E-2</v>
      </c>
      <c r="P169" s="57">
        <f t="shared" si="107"/>
        <v>4.4603591170273058E-2</v>
      </c>
      <c r="Q169" s="61">
        <f t="shared" si="108"/>
        <v>6.6850085550438809E-2</v>
      </c>
      <c r="R169" s="57">
        <f t="shared" si="109"/>
        <v>9.0471650012409907E-2</v>
      </c>
      <c r="S169" s="64">
        <f t="shared" si="110"/>
        <v>0.11236703340699915</v>
      </c>
    </row>
    <row r="170" spans="1:19" x14ac:dyDescent="0.35">
      <c r="A170" s="53">
        <v>45292</v>
      </c>
      <c r="B170" s="146">
        <f t="shared" si="102"/>
        <v>442580280</v>
      </c>
      <c r="C170" s="170">
        <v>109550165</v>
      </c>
      <c r="D170" s="168">
        <v>16384278</v>
      </c>
      <c r="E170" s="170">
        <v>112664899</v>
      </c>
      <c r="F170" s="168">
        <v>55348261</v>
      </c>
      <c r="G170" s="170">
        <v>22505688</v>
      </c>
      <c r="H170" s="168">
        <v>36275333</v>
      </c>
      <c r="I170" s="170">
        <v>38015473</v>
      </c>
      <c r="J170" s="144">
        <v>51836183</v>
      </c>
      <c r="K170" s="12"/>
      <c r="L170" s="65">
        <f t="shared" si="103"/>
        <v>0.24752608724455594</v>
      </c>
      <c r="M170" s="59">
        <f t="shared" si="104"/>
        <v>3.7019900660734364E-2</v>
      </c>
      <c r="N170" s="65">
        <f t="shared" si="105"/>
        <v>0.25456375733686099</v>
      </c>
      <c r="O170" s="59">
        <f t="shared" si="106"/>
        <v>0.12505812730743449</v>
      </c>
      <c r="P170" s="65">
        <f t="shared" si="107"/>
        <v>5.0851086270721324E-2</v>
      </c>
      <c r="Q170" s="59">
        <f t="shared" si="108"/>
        <v>8.1963283587782085E-2</v>
      </c>
      <c r="R170" s="65">
        <f t="shared" si="109"/>
        <v>8.5895090038806063E-2</v>
      </c>
      <c r="S170" s="62">
        <f t="shared" si="110"/>
        <v>0.11712266755310471</v>
      </c>
    </row>
    <row r="171" spans="1:19" x14ac:dyDescent="0.35">
      <c r="A171" s="7">
        <v>45323</v>
      </c>
      <c r="B171" s="146">
        <f t="shared" si="102"/>
        <v>448757387</v>
      </c>
      <c r="C171" s="151">
        <v>109691121</v>
      </c>
      <c r="D171" s="147">
        <v>19600271</v>
      </c>
      <c r="E171" s="146">
        <v>109456483</v>
      </c>
      <c r="F171" s="147">
        <v>52167303</v>
      </c>
      <c r="G171" s="146">
        <v>22684816</v>
      </c>
      <c r="H171" s="147">
        <v>38300383</v>
      </c>
      <c r="I171" s="146">
        <v>46985187</v>
      </c>
      <c r="J171" s="146">
        <v>49871823</v>
      </c>
      <c r="K171" s="12"/>
      <c r="L171" s="13">
        <f t="shared" si="103"/>
        <v>0.24443301475948739</v>
      </c>
      <c r="M171" s="60">
        <f t="shared" si="104"/>
        <v>4.3676765147043696E-2</v>
      </c>
      <c r="N171" s="13">
        <f t="shared" si="105"/>
        <v>0.24391015317147302</v>
      </c>
      <c r="O171" s="60">
        <f t="shared" si="106"/>
        <v>0.11624834378492359</v>
      </c>
      <c r="P171" s="13">
        <f t="shared" si="107"/>
        <v>5.0550289883027594E-2</v>
      </c>
      <c r="Q171" s="60">
        <f t="shared" si="108"/>
        <v>8.5347637965455928E-2</v>
      </c>
      <c r="R171" s="13">
        <f t="shared" si="109"/>
        <v>0.10470064306707445</v>
      </c>
      <c r="S171" s="63">
        <f t="shared" si="110"/>
        <v>0.11113315222151429</v>
      </c>
    </row>
    <row r="172" spans="1:19" x14ac:dyDescent="0.35">
      <c r="A172" s="7">
        <v>45352</v>
      </c>
      <c r="B172" s="146">
        <f t="shared" si="102"/>
        <v>505004672</v>
      </c>
      <c r="C172" s="151">
        <v>122686271</v>
      </c>
      <c r="D172" s="147">
        <v>23591274</v>
      </c>
      <c r="E172" s="146">
        <v>130831194</v>
      </c>
      <c r="F172" s="147">
        <v>54101556</v>
      </c>
      <c r="G172" s="146">
        <v>24528858</v>
      </c>
      <c r="H172" s="147">
        <v>44810423</v>
      </c>
      <c r="I172" s="146">
        <v>48865039</v>
      </c>
      <c r="J172" s="146">
        <v>55590057</v>
      </c>
      <c r="K172" s="12"/>
      <c r="L172" s="13">
        <f t="shared" si="103"/>
        <v>0.24294086332730008</v>
      </c>
      <c r="M172" s="60">
        <f t="shared" si="104"/>
        <v>4.6714961876629928E-2</v>
      </c>
      <c r="N172" s="13">
        <f t="shared" si="105"/>
        <v>0.25906927451158313</v>
      </c>
      <c r="O172" s="60">
        <f t="shared" si="106"/>
        <v>0.1071308029403736</v>
      </c>
      <c r="P172" s="13">
        <f t="shared" si="107"/>
        <v>4.8571546680661201E-2</v>
      </c>
      <c r="Q172" s="60">
        <f t="shared" si="108"/>
        <v>8.8732689981925558E-2</v>
      </c>
      <c r="R172" s="13">
        <f t="shared" si="109"/>
        <v>9.6761558277227183E-2</v>
      </c>
      <c r="S172" s="63">
        <f t="shared" si="110"/>
        <v>0.11007830240429935</v>
      </c>
    </row>
    <row r="173" spans="1:19" x14ac:dyDescent="0.35">
      <c r="A173" s="7">
        <v>45383</v>
      </c>
      <c r="B173" s="146">
        <f t="shared" si="102"/>
        <v>486319950</v>
      </c>
      <c r="C173" s="151">
        <v>122647005</v>
      </c>
      <c r="D173" s="147">
        <v>16138962</v>
      </c>
      <c r="E173" s="146">
        <v>116998420</v>
      </c>
      <c r="F173" s="147">
        <v>61297048</v>
      </c>
      <c r="G173" s="146">
        <v>24405395</v>
      </c>
      <c r="H173" s="147">
        <v>44978345</v>
      </c>
      <c r="I173" s="146">
        <v>45564009</v>
      </c>
      <c r="J173" s="146">
        <v>54290766</v>
      </c>
      <c r="K173" s="12"/>
      <c r="L173" s="13">
        <f t="shared" si="103"/>
        <v>0.25219406483324402</v>
      </c>
      <c r="M173" s="60">
        <f t="shared" ref="M173:M176" si="111">D173/$B173</f>
        <v>3.3185893360944782E-2</v>
      </c>
      <c r="N173" s="13">
        <f t="shared" ref="N173:N176" si="112">E173/$B173</f>
        <v>0.24057910846552769</v>
      </c>
      <c r="O173" s="60">
        <f t="shared" ref="O173:O176" si="113">F173/$B173</f>
        <v>0.12604263510061636</v>
      </c>
      <c r="P173" s="13">
        <f t="shared" ref="P173:P176" si="114">G173/$B173</f>
        <v>5.0183824455484499E-2</v>
      </c>
      <c r="Q173" s="60">
        <f t="shared" ref="Q173:Q176" si="115">H173/$B173</f>
        <v>9.248714760724909E-2</v>
      </c>
      <c r="R173" s="13">
        <f t="shared" ref="R173:R176" si="116">I173/$B173</f>
        <v>9.3691424750310989E-2</v>
      </c>
      <c r="S173" s="63">
        <f t="shared" ref="S173:S176" si="117">J173/$B173</f>
        <v>0.11163590142662254</v>
      </c>
    </row>
    <row r="174" spans="1:19" x14ac:dyDescent="0.35">
      <c r="A174" s="42">
        <v>45413</v>
      </c>
      <c r="B174" s="146">
        <f t="shared" si="102"/>
        <v>480734246</v>
      </c>
      <c r="C174" s="151">
        <v>116132399</v>
      </c>
      <c r="D174" s="147">
        <v>16806905</v>
      </c>
      <c r="E174" s="146">
        <v>122041285</v>
      </c>
      <c r="F174" s="147">
        <v>58045728</v>
      </c>
      <c r="G174" s="146">
        <v>24879318</v>
      </c>
      <c r="H174" s="147">
        <v>43788120</v>
      </c>
      <c r="I174" s="146">
        <v>47377052</v>
      </c>
      <c r="J174" s="146">
        <v>51663439</v>
      </c>
      <c r="K174" s="12"/>
      <c r="L174" s="13">
        <f t="shared" si="103"/>
        <v>0.24157296877909545</v>
      </c>
      <c r="M174" s="60">
        <f t="shared" si="111"/>
        <v>3.4960906446427784E-2</v>
      </c>
      <c r="N174" s="13">
        <f t="shared" si="112"/>
        <v>0.25386434608197228</v>
      </c>
      <c r="O174" s="60">
        <f t="shared" si="113"/>
        <v>0.12074390057079479</v>
      </c>
      <c r="P174" s="13">
        <f t="shared" si="114"/>
        <v>5.1752747400483717E-2</v>
      </c>
      <c r="Q174" s="60">
        <f t="shared" si="115"/>
        <v>9.1085917769211724E-2</v>
      </c>
      <c r="R174" s="13">
        <f t="shared" si="116"/>
        <v>9.855143958269201E-2</v>
      </c>
      <c r="S174" s="63">
        <f t="shared" si="117"/>
        <v>0.10746777336932223</v>
      </c>
    </row>
    <row r="175" spans="1:19" x14ac:dyDescent="0.35">
      <c r="A175" s="7">
        <v>45444</v>
      </c>
      <c r="B175" s="146">
        <f t="shared" si="102"/>
        <v>483724706</v>
      </c>
      <c r="C175" s="151">
        <v>116407727</v>
      </c>
      <c r="D175" s="169">
        <v>16805245</v>
      </c>
      <c r="E175" s="151">
        <v>122872944</v>
      </c>
      <c r="F175" s="169">
        <v>57208004</v>
      </c>
      <c r="G175" s="151">
        <v>22187451</v>
      </c>
      <c r="H175" s="169">
        <v>46763427</v>
      </c>
      <c r="I175" s="151">
        <v>46951516</v>
      </c>
      <c r="J175" s="151">
        <v>54528392</v>
      </c>
      <c r="K175" s="12"/>
      <c r="L175" s="13">
        <f t="shared" si="103"/>
        <v>0.24064871104598903</v>
      </c>
      <c r="M175" s="60">
        <f t="shared" si="111"/>
        <v>3.4741341080064658E-2</v>
      </c>
      <c r="N175" s="13">
        <f t="shared" si="112"/>
        <v>0.25401419955589366</v>
      </c>
      <c r="O175" s="60">
        <f t="shared" si="113"/>
        <v>0.11826562358797527</v>
      </c>
      <c r="P175" s="13">
        <f t="shared" si="114"/>
        <v>4.5867930094932965E-2</v>
      </c>
      <c r="Q175" s="60">
        <f t="shared" si="115"/>
        <v>9.6673637752957772E-2</v>
      </c>
      <c r="R175" s="13">
        <f t="shared" si="116"/>
        <v>9.7062472554378901E-2</v>
      </c>
      <c r="S175" s="63">
        <f t="shared" si="117"/>
        <v>0.11272608432780773</v>
      </c>
    </row>
    <row r="176" spans="1:19" x14ac:dyDescent="0.35">
      <c r="A176" s="7">
        <v>45474</v>
      </c>
      <c r="B176" s="146">
        <f t="shared" si="102"/>
        <v>467691805</v>
      </c>
      <c r="C176" s="303">
        <v>110347604</v>
      </c>
      <c r="D176" s="138">
        <v>17671605</v>
      </c>
      <c r="E176" s="141">
        <v>116275235</v>
      </c>
      <c r="F176" s="138">
        <v>57984583</v>
      </c>
      <c r="G176" s="141">
        <v>22711349</v>
      </c>
      <c r="H176" s="138">
        <v>44294406</v>
      </c>
      <c r="I176" s="141">
        <v>50756878</v>
      </c>
      <c r="J176" s="141">
        <v>47650145</v>
      </c>
      <c r="K176" s="12"/>
      <c r="L176" s="13">
        <f t="shared" si="103"/>
        <v>0.23594085425550701</v>
      </c>
      <c r="M176" s="60">
        <f t="shared" si="111"/>
        <v>3.7784722355782993E-2</v>
      </c>
      <c r="N176" s="13">
        <f t="shared" si="112"/>
        <v>0.24861507889795076</v>
      </c>
      <c r="O176" s="60">
        <f t="shared" si="113"/>
        <v>0.12398032717293389</v>
      </c>
      <c r="P176" s="13">
        <f t="shared" si="114"/>
        <v>4.8560502359026793E-2</v>
      </c>
      <c r="Q176" s="60">
        <f t="shared" si="115"/>
        <v>9.4708535677677744E-2</v>
      </c>
      <c r="R176" s="13">
        <f t="shared" si="116"/>
        <v>0.10852633605585627</v>
      </c>
      <c r="S176" s="63">
        <f t="shared" si="117"/>
        <v>0.10188364322526455</v>
      </c>
    </row>
    <row r="177" spans="1:19" x14ac:dyDescent="0.35">
      <c r="A177" s="7">
        <v>45505</v>
      </c>
      <c r="B177" s="146">
        <f t="shared" si="102"/>
        <v>471085714.19999993</v>
      </c>
      <c r="C177" s="222">
        <v>111890253</v>
      </c>
      <c r="D177" s="138">
        <v>15065075</v>
      </c>
      <c r="E177" s="141">
        <v>112588962.22</v>
      </c>
      <c r="F177" s="138">
        <v>63401808.739999995</v>
      </c>
      <c r="G177" s="141">
        <v>22024934.939999998</v>
      </c>
      <c r="H177" s="138">
        <v>42828519.310000002</v>
      </c>
      <c r="I177" s="141">
        <v>51415064.329999998</v>
      </c>
      <c r="J177" s="141">
        <v>51871096.659999996</v>
      </c>
      <c r="K177" s="12"/>
      <c r="L177" s="13">
        <f t="shared" si="103"/>
        <v>0.23751569964292502</v>
      </c>
      <c r="M177" s="60">
        <f t="shared" ref="M177:M180" si="118">D177/$B177</f>
        <v>3.1979477504605683E-2</v>
      </c>
      <c r="N177" s="13">
        <f t="shared" ref="N177:N180" si="119">E177/$B177</f>
        <v>0.2389988887928795</v>
      </c>
      <c r="O177" s="60">
        <f t="shared" ref="O177:O180" si="120">F177/$B177</f>
        <v>0.13458656636970887</v>
      </c>
      <c r="P177" s="13">
        <f t="shared" ref="P177:P180" si="121">G177/$B177</f>
        <v>4.6753561562364189E-2</v>
      </c>
      <c r="Q177" s="60">
        <f t="shared" ref="Q177:Q180" si="122">H177/$B177</f>
        <v>9.0914493942427455E-2</v>
      </c>
      <c r="R177" s="13">
        <f t="shared" ref="R177:R180" si="123">I177/$B177</f>
        <v>0.10914163342293942</v>
      </c>
      <c r="S177" s="63">
        <f t="shared" ref="S177:S180" si="124">J177/$B177</f>
        <v>0.11010967876215</v>
      </c>
    </row>
    <row r="178" spans="1:19" x14ac:dyDescent="0.35">
      <c r="A178" s="42">
        <v>45536</v>
      </c>
      <c r="B178" s="146">
        <f>SUM(C178:J178)</f>
        <v>461605117</v>
      </c>
      <c r="C178" s="143">
        <v>112853472</v>
      </c>
      <c r="D178" s="138">
        <v>15953246</v>
      </c>
      <c r="E178" s="141">
        <v>115965455</v>
      </c>
      <c r="F178" s="138">
        <v>53602112</v>
      </c>
      <c r="G178" s="141">
        <v>22152856</v>
      </c>
      <c r="H178" s="138">
        <v>42370498</v>
      </c>
      <c r="I178" s="141">
        <v>47471356</v>
      </c>
      <c r="J178" s="141">
        <v>51236122</v>
      </c>
      <c r="K178" s="12"/>
      <c r="L178" s="13">
        <f t="shared" si="103"/>
        <v>0.24448054807849975</v>
      </c>
      <c r="M178" s="60">
        <f t="shared" si="118"/>
        <v>3.4560375118198698E-2</v>
      </c>
      <c r="N178" s="13">
        <f t="shared" si="119"/>
        <v>0.25122220428072073</v>
      </c>
      <c r="O178" s="60">
        <f t="shared" si="120"/>
        <v>0.11612113909907112</v>
      </c>
      <c r="P178" s="13">
        <f t="shared" si="121"/>
        <v>4.7990923809451622E-2</v>
      </c>
      <c r="Q178" s="60">
        <f t="shared" si="122"/>
        <v>9.1789489413307349E-2</v>
      </c>
      <c r="R178" s="13">
        <f t="shared" si="123"/>
        <v>0.10283975253246597</v>
      </c>
      <c r="S178" s="63">
        <f t="shared" si="124"/>
        <v>0.11099556766828475</v>
      </c>
    </row>
    <row r="179" spans="1:19" x14ac:dyDescent="0.35">
      <c r="A179" s="7">
        <v>45566</v>
      </c>
      <c r="B179" s="146">
        <f>SUM(C179:J179)</f>
        <v>491141876</v>
      </c>
      <c r="C179" s="184">
        <v>115554815</v>
      </c>
      <c r="D179" s="138">
        <v>16706312</v>
      </c>
      <c r="E179" s="141">
        <v>121184460</v>
      </c>
      <c r="F179" s="138">
        <v>56083765</v>
      </c>
      <c r="G179" s="141">
        <v>27403872</v>
      </c>
      <c r="H179" s="138">
        <v>47848956</v>
      </c>
      <c r="I179" s="141">
        <v>51914857</v>
      </c>
      <c r="J179" s="141">
        <v>54444839</v>
      </c>
      <c r="K179" s="12"/>
      <c r="L179" s="13">
        <f t="shared" si="103"/>
        <v>0.23527787111355986</v>
      </c>
      <c r="M179" s="60">
        <f t="shared" si="118"/>
        <v>3.4015246543546616E-2</v>
      </c>
      <c r="N179" s="13">
        <f t="shared" si="119"/>
        <v>0.24674023112620924</v>
      </c>
      <c r="O179" s="60">
        <f t="shared" si="120"/>
        <v>0.1141905582492013</v>
      </c>
      <c r="P179" s="13">
        <f t="shared" si="121"/>
        <v>5.5796244097907059E-2</v>
      </c>
      <c r="Q179" s="60">
        <f t="shared" si="122"/>
        <v>9.7423897936978199E-2</v>
      </c>
      <c r="R179" s="13">
        <f t="shared" si="123"/>
        <v>0.10570236328209164</v>
      </c>
      <c r="S179" s="63">
        <f t="shared" si="124"/>
        <v>0.1108535876505061</v>
      </c>
    </row>
    <row r="180" spans="1:19" x14ac:dyDescent="0.35">
      <c r="A180" s="7">
        <v>45597</v>
      </c>
      <c r="B180" s="146">
        <f t="shared" si="102"/>
        <v>475504072</v>
      </c>
      <c r="C180" s="183">
        <v>119321099</v>
      </c>
      <c r="D180" s="138">
        <v>19005506</v>
      </c>
      <c r="E180" s="141">
        <v>128502605</v>
      </c>
      <c r="F180" s="138">
        <v>52542712</v>
      </c>
      <c r="G180" s="141">
        <v>20090332</v>
      </c>
      <c r="H180" s="138">
        <v>36966600</v>
      </c>
      <c r="I180" s="141">
        <v>47237080</v>
      </c>
      <c r="J180" s="141">
        <v>51838138</v>
      </c>
      <c r="K180" s="12"/>
      <c r="L180" s="13">
        <f t="shared" si="103"/>
        <v>0.25093601932393128</v>
      </c>
      <c r="M180" s="60">
        <f t="shared" si="118"/>
        <v>3.9969176120956539E-2</v>
      </c>
      <c r="N180" s="13">
        <f t="shared" si="119"/>
        <v>0.27024501485236491</v>
      </c>
      <c r="O180" s="60">
        <f t="shared" si="120"/>
        <v>0.11049897381320427</v>
      </c>
      <c r="P180" s="13">
        <f t="shared" si="121"/>
        <v>4.2250599275625134E-2</v>
      </c>
      <c r="Q180" s="60">
        <f t="shared" si="122"/>
        <v>7.7741920998733324E-2</v>
      </c>
      <c r="R180" s="13">
        <f t="shared" si="123"/>
        <v>9.934106305613298E-2</v>
      </c>
      <c r="S180" s="63">
        <f t="shared" si="124"/>
        <v>0.10901723255905156</v>
      </c>
    </row>
    <row r="181" spans="1:19" ht="15" thickBot="1" x14ac:dyDescent="0.4">
      <c r="A181" s="15">
        <v>45627</v>
      </c>
      <c r="B181" s="149">
        <f>SUM(C181:J181)</f>
        <v>575862491.59000003</v>
      </c>
      <c r="C181" s="171">
        <v>132613735.00999998</v>
      </c>
      <c r="D181" s="139">
        <v>26318448.399999999</v>
      </c>
      <c r="E181" s="142">
        <v>170115265.69999999</v>
      </c>
      <c r="F181" s="139">
        <v>55005231.419999994</v>
      </c>
      <c r="G181" s="142">
        <v>23625169.850000001</v>
      </c>
      <c r="H181" s="139">
        <v>43347814.199999996</v>
      </c>
      <c r="I181" s="142">
        <v>57096253.040000007</v>
      </c>
      <c r="J181" s="142">
        <v>67740573.969999999</v>
      </c>
      <c r="K181" s="12"/>
      <c r="L181" s="57">
        <f t="shared" ref="L181" si="125">C181/$B181</f>
        <v>0.23028715526139476</v>
      </c>
      <c r="M181" s="57">
        <f t="shared" ref="M181" si="126">D181/$B181</f>
        <v>4.5702661285218917E-2</v>
      </c>
      <c r="N181" s="57">
        <f t="shared" ref="N181" si="127">E181/$B181</f>
        <v>0.29540952603163795</v>
      </c>
      <c r="O181" s="57">
        <f t="shared" ref="O181" si="128">F181/$B181</f>
        <v>9.5517996437181341E-2</v>
      </c>
      <c r="P181" s="57">
        <f t="shared" ref="P181" si="129">G181/$B181</f>
        <v>4.1025713942175877E-2</v>
      </c>
      <c r="Q181" s="57">
        <f t="shared" ref="Q181" si="130">H181/$B181</f>
        <v>7.5274592169240595E-2</v>
      </c>
      <c r="R181" s="57">
        <f t="shared" ref="R181" si="131">I181/$B181</f>
        <v>9.9149109160336035E-2</v>
      </c>
      <c r="S181" s="57">
        <f t="shared" ref="S181" si="132">J181/$B181</f>
        <v>0.11763324571281442</v>
      </c>
    </row>
    <row r="182" spans="1:19" x14ac:dyDescent="0.35">
      <c r="B182" s="66"/>
      <c r="C182" s="123"/>
      <c r="D182" s="66"/>
      <c r="E182" s="66"/>
      <c r="F182" s="66"/>
      <c r="G182" s="66"/>
      <c r="H182" s="66"/>
      <c r="I182" s="66"/>
      <c r="J182" s="66"/>
      <c r="K182" s="12"/>
      <c r="Q182" s="17"/>
      <c r="R182" s="17"/>
      <c r="S182" s="17"/>
    </row>
    <row r="183" spans="1:19" ht="15" thickBot="1" x14ac:dyDescent="0.4"/>
    <row r="184" spans="1:19" ht="29" x14ac:dyDescent="0.35">
      <c r="A184" s="1" t="s">
        <v>9</v>
      </c>
      <c r="B184" s="2" t="s">
        <v>19</v>
      </c>
      <c r="C184" s="2" t="s">
        <v>20</v>
      </c>
      <c r="D184" s="2" t="s">
        <v>21</v>
      </c>
      <c r="E184" s="2" t="s">
        <v>22</v>
      </c>
      <c r="F184" s="2" t="s">
        <v>23</v>
      </c>
      <c r="G184" s="2" t="s">
        <v>24</v>
      </c>
      <c r="H184" s="2" t="s">
        <v>25</v>
      </c>
      <c r="I184" s="2" t="s">
        <v>26</v>
      </c>
      <c r="J184" s="2" t="s">
        <v>27</v>
      </c>
      <c r="K184" s="5"/>
      <c r="L184" s="6" t="s">
        <v>20</v>
      </c>
      <c r="M184" s="6" t="s">
        <v>21</v>
      </c>
      <c r="N184" s="6" t="s">
        <v>22</v>
      </c>
      <c r="O184" s="6" t="s">
        <v>23</v>
      </c>
      <c r="P184" s="6" t="s">
        <v>24</v>
      </c>
      <c r="Q184" s="6" t="s">
        <v>25</v>
      </c>
      <c r="R184" s="6" t="s">
        <v>26</v>
      </c>
      <c r="S184" s="6" t="s">
        <v>27</v>
      </c>
    </row>
    <row r="185" spans="1:19" x14ac:dyDescent="0.35">
      <c r="A185" s="18">
        <v>2010</v>
      </c>
      <c r="B185" s="141">
        <f t="shared" ref="B185:J185" si="133">SUM(B2:B13)</f>
        <v>3738096986.1400003</v>
      </c>
      <c r="C185" s="141">
        <f t="shared" si="133"/>
        <v>754240012.13</v>
      </c>
      <c r="D185" s="141">
        <f t="shared" si="133"/>
        <v>202374488.00999999</v>
      </c>
      <c r="E185" s="141">
        <f t="shared" si="133"/>
        <v>1254634145</v>
      </c>
      <c r="F185" s="141">
        <f t="shared" si="133"/>
        <v>381748069</v>
      </c>
      <c r="G185" s="141">
        <f t="shared" si="133"/>
        <v>240283075</v>
      </c>
      <c r="H185" s="141">
        <f t="shared" si="133"/>
        <v>387490052</v>
      </c>
      <c r="I185" s="141">
        <f t="shared" si="133"/>
        <v>262808738</v>
      </c>
      <c r="J185" s="141">
        <f t="shared" si="133"/>
        <v>254518407</v>
      </c>
      <c r="L185" s="13">
        <f t="shared" ref="L185:S190" si="134">C185/$B185</f>
        <v>0.20177111908186107</v>
      </c>
      <c r="M185" s="13">
        <f t="shared" si="134"/>
        <v>5.4138372749652518E-2</v>
      </c>
      <c r="N185" s="13">
        <f t="shared" si="134"/>
        <v>0.33563445508554041</v>
      </c>
      <c r="O185" s="13">
        <f t="shared" si="134"/>
        <v>0.10212363949234961</v>
      </c>
      <c r="P185" s="13">
        <f t="shared" si="134"/>
        <v>6.4279518667095609E-2</v>
      </c>
      <c r="Q185" s="13">
        <f t="shared" si="134"/>
        <v>0.10365971065938727</v>
      </c>
      <c r="R185" s="13">
        <f t="shared" si="134"/>
        <v>7.030548939057335E-2</v>
      </c>
      <c r="S185" s="13">
        <f t="shared" si="134"/>
        <v>6.808769487354005E-2</v>
      </c>
    </row>
    <row r="186" spans="1:19" x14ac:dyDescent="0.35">
      <c r="A186" s="18">
        <v>2011</v>
      </c>
      <c r="B186" s="141">
        <f t="shared" ref="B186:B199" ca="1" si="135">SUM(OFFSET($B$2,(12*(ROW(B2)-1)),0,12,1))</f>
        <v>3948509897.5</v>
      </c>
      <c r="C186" s="141">
        <f t="shared" ref="C186:C199" ca="1" si="136">SUM(OFFSET($C$2,(12*(ROW(C2)-1)),0,12,1))</f>
        <v>828683924</v>
      </c>
      <c r="D186" s="141">
        <f t="shared" ref="D186:D199" ca="1" si="137">SUM(OFFSET($D$2,(12*(ROW(D2)-1)),0,12,1))</f>
        <v>214109040</v>
      </c>
      <c r="E186" s="141">
        <f t="shared" ref="E186:E199" ca="1" si="138">SUM(OFFSET($E$2,(12*(ROW(E2)-1)),0,12,1))</f>
        <v>1245023313</v>
      </c>
      <c r="F186" s="141">
        <f t="shared" ref="F186:F199" ca="1" si="139">SUM(OFFSET($F$2,(12*(ROW(F2)-1)),0,12,1))</f>
        <v>415356590</v>
      </c>
      <c r="G186" s="141">
        <f t="shared" ref="G186:G199" ca="1" si="140">SUM(OFFSET($G$2,(12*(ROW(G2)-1)),0,12,1))</f>
        <v>251130163.5</v>
      </c>
      <c r="H186" s="141">
        <f t="shared" ref="H186:H199" ca="1" si="141">SUM(OFFSET($H$2,(12*(ROW(H2)-1)),0,12,1))</f>
        <v>428470759</v>
      </c>
      <c r="I186" s="141">
        <f t="shared" ref="I186:I199" ca="1" si="142">SUM(OFFSET($I$2,(12*(ROW(I2)-1)),0,12,1))</f>
        <v>296527207</v>
      </c>
      <c r="J186" s="141">
        <f t="shared" ref="J186:J199" ca="1" si="143">SUM(OFFSET($J$2,(12*(ROW(J2)-1)),0,12,1))</f>
        <v>269208901</v>
      </c>
      <c r="L186" s="13">
        <f t="shared" ca="1" si="134"/>
        <v>0.20987257104881044</v>
      </c>
      <c r="M186" s="13">
        <f t="shared" ca="1" si="134"/>
        <v>5.4225276258155812E-2</v>
      </c>
      <c r="N186" s="13">
        <f t="shared" ca="1" si="134"/>
        <v>0.31531472512916503</v>
      </c>
      <c r="O186" s="13">
        <f t="shared" ca="1" si="134"/>
        <v>0.10519325031019502</v>
      </c>
      <c r="P186" s="13">
        <f t="shared" ca="1" si="134"/>
        <v>6.3601249590130984E-2</v>
      </c>
      <c r="Q186" s="13">
        <f t="shared" ca="1" si="134"/>
        <v>0.10851454602438412</v>
      </c>
      <c r="R186" s="13">
        <f t="shared" ca="1" si="134"/>
        <v>7.5098509234520661E-2</v>
      </c>
      <c r="S186" s="13">
        <f t="shared" ca="1" si="134"/>
        <v>6.8179872404637937E-2</v>
      </c>
    </row>
    <row r="187" spans="1:19" x14ac:dyDescent="0.35">
      <c r="A187" s="18">
        <v>2012</v>
      </c>
      <c r="B187" s="141">
        <f t="shared" ca="1" si="135"/>
        <v>4175068338</v>
      </c>
      <c r="C187" s="141">
        <f t="shared" ca="1" si="136"/>
        <v>886963443</v>
      </c>
      <c r="D187" s="141">
        <f t="shared" ca="1" si="137"/>
        <v>230354216</v>
      </c>
      <c r="E187" s="141">
        <f t="shared" ca="1" si="138"/>
        <v>1332516721</v>
      </c>
      <c r="F187" s="141">
        <f t="shared" ca="1" si="139"/>
        <v>447104177</v>
      </c>
      <c r="G187" s="141">
        <f t="shared" ca="1" si="140"/>
        <v>240962266</v>
      </c>
      <c r="H187" s="141">
        <f t="shared" ca="1" si="141"/>
        <v>457524707</v>
      </c>
      <c r="I187" s="141">
        <f t="shared" ca="1" si="142"/>
        <v>300901629</v>
      </c>
      <c r="J187" s="141">
        <f t="shared" ca="1" si="143"/>
        <v>278741179</v>
      </c>
      <c r="L187" s="13">
        <f t="shared" ca="1" si="134"/>
        <v>0.21244285630660736</v>
      </c>
      <c r="M187" s="13">
        <f t="shared" ca="1" si="134"/>
        <v>5.5173759409731606E-2</v>
      </c>
      <c r="N187" s="13">
        <f t="shared" ca="1" si="134"/>
        <v>0.31916045753596478</v>
      </c>
      <c r="O187" s="13">
        <f t="shared" ca="1" si="134"/>
        <v>0.10708906796341881</v>
      </c>
      <c r="P187" s="13">
        <f t="shared" ca="1" si="134"/>
        <v>5.7714568120202106E-2</v>
      </c>
      <c r="Q187" s="13">
        <f t="shared" ca="1" si="134"/>
        <v>0.10958496243900284</v>
      </c>
      <c r="R187" s="13">
        <f t="shared" ca="1" si="134"/>
        <v>7.2071066780224763E-2</v>
      </c>
      <c r="S187" s="13">
        <f t="shared" ca="1" si="134"/>
        <v>6.676326144484776E-2</v>
      </c>
    </row>
    <row r="188" spans="1:19" x14ac:dyDescent="0.35">
      <c r="A188" s="18">
        <v>2013</v>
      </c>
      <c r="B188" s="141">
        <f t="shared" ca="1" si="135"/>
        <v>4382965511</v>
      </c>
      <c r="C188" s="141">
        <f t="shared" ca="1" si="136"/>
        <v>924093241</v>
      </c>
      <c r="D188" s="141">
        <f t="shared" ca="1" si="137"/>
        <v>235997370</v>
      </c>
      <c r="E188" s="141">
        <f t="shared" ca="1" si="138"/>
        <v>1361015392</v>
      </c>
      <c r="F188" s="141">
        <f t="shared" ca="1" si="139"/>
        <v>483931793</v>
      </c>
      <c r="G188" s="141">
        <f t="shared" ca="1" si="140"/>
        <v>252860808</v>
      </c>
      <c r="H188" s="141">
        <f t="shared" ca="1" si="141"/>
        <v>467988558</v>
      </c>
      <c r="I188" s="141">
        <f t="shared" ca="1" si="142"/>
        <v>333314130</v>
      </c>
      <c r="J188" s="141">
        <f t="shared" ca="1" si="143"/>
        <v>323764219</v>
      </c>
      <c r="L188" s="13">
        <f t="shared" ca="1" si="134"/>
        <v>0.21083744297799928</v>
      </c>
      <c r="M188" s="13">
        <f t="shared" ca="1" si="134"/>
        <v>5.3844222457994147E-2</v>
      </c>
      <c r="N188" s="13">
        <f t="shared" ca="1" si="134"/>
        <v>0.31052386531088083</v>
      </c>
      <c r="O188" s="13">
        <f t="shared" ca="1" si="134"/>
        <v>0.11041195550945325</v>
      </c>
      <c r="P188" s="13">
        <f t="shared" ca="1" si="134"/>
        <v>5.7691717483377661E-2</v>
      </c>
      <c r="Q188" s="13">
        <f t="shared" ca="1" si="134"/>
        <v>0.10677441034511485</v>
      </c>
      <c r="R188" s="13">
        <f t="shared" ca="1" si="134"/>
        <v>7.604762783633047E-2</v>
      </c>
      <c r="S188" s="13">
        <f t="shared" ca="1" si="134"/>
        <v>7.3868758078849503E-2</v>
      </c>
    </row>
    <row r="189" spans="1:19" x14ac:dyDescent="0.35">
      <c r="A189" s="18">
        <v>2014</v>
      </c>
      <c r="B189" s="141">
        <f t="shared" ca="1" si="135"/>
        <v>4554881203</v>
      </c>
      <c r="C189" s="141">
        <f t="shared" ca="1" si="136"/>
        <v>920108013</v>
      </c>
      <c r="D189" s="141">
        <f t="shared" ca="1" si="137"/>
        <v>236839547</v>
      </c>
      <c r="E189" s="141">
        <f t="shared" ca="1" si="138"/>
        <v>1380800545</v>
      </c>
      <c r="F189" s="141">
        <f t="shared" ca="1" si="139"/>
        <v>502948524</v>
      </c>
      <c r="G189" s="141">
        <f t="shared" ca="1" si="140"/>
        <v>245676498</v>
      </c>
      <c r="H189" s="141">
        <f t="shared" ca="1" si="141"/>
        <v>562440529</v>
      </c>
      <c r="I189" s="141">
        <f t="shared" ca="1" si="142"/>
        <v>358562125</v>
      </c>
      <c r="J189" s="141">
        <f t="shared" ca="1" si="143"/>
        <v>347505422</v>
      </c>
      <c r="L189" s="13">
        <f t="shared" ca="1" si="134"/>
        <v>0.20200483217739806</v>
      </c>
      <c r="M189" s="13">
        <f t="shared" ca="1" si="134"/>
        <v>5.1996865877426045E-2</v>
      </c>
      <c r="N189" s="13">
        <f t="shared" ca="1" si="134"/>
        <v>0.30314743315161713</v>
      </c>
      <c r="O189" s="13">
        <f t="shared" ca="1" si="134"/>
        <v>0.1104196798082771</v>
      </c>
      <c r="P189" s="13">
        <f t="shared" ca="1" si="134"/>
        <v>5.3936971580771216E-2</v>
      </c>
      <c r="Q189" s="13">
        <f t="shared" ca="1" si="134"/>
        <v>0.12348083384250669</v>
      </c>
      <c r="R189" s="13">
        <f t="shared" ca="1" si="134"/>
        <v>7.8720412019492134E-2</v>
      </c>
      <c r="S189" s="13">
        <f t="shared" ca="1" si="134"/>
        <v>7.6292971542511606E-2</v>
      </c>
    </row>
    <row r="190" spans="1:19" x14ac:dyDescent="0.35">
      <c r="A190" s="18">
        <v>2015</v>
      </c>
      <c r="B190" s="141">
        <f t="shared" ca="1" si="135"/>
        <v>4435758614.2000008</v>
      </c>
      <c r="C190" s="141">
        <f t="shared" ca="1" si="136"/>
        <v>931325766.27999997</v>
      </c>
      <c r="D190" s="141">
        <f t="shared" ca="1" si="137"/>
        <v>221987494.19</v>
      </c>
      <c r="E190" s="141">
        <f t="shared" ca="1" si="138"/>
        <v>1352947255.8500001</v>
      </c>
      <c r="F190" s="141">
        <f t="shared" ca="1" si="139"/>
        <v>494178126.29000002</v>
      </c>
      <c r="G190" s="141">
        <f t="shared" ca="1" si="140"/>
        <v>242356540.84999999</v>
      </c>
      <c r="H190" s="141">
        <f t="shared" ca="1" si="141"/>
        <v>510349268.02999997</v>
      </c>
      <c r="I190" s="141">
        <f t="shared" ca="1" si="142"/>
        <v>344674087</v>
      </c>
      <c r="J190" s="141">
        <f t="shared" ca="1" si="143"/>
        <v>337940075.71000004</v>
      </c>
      <c r="L190" s="13">
        <f t="shared" ca="1" si="134"/>
        <v>0.20995862202658805</v>
      </c>
      <c r="M190" s="13">
        <f t="shared" ca="1" si="134"/>
        <v>5.0044989706915316E-2</v>
      </c>
      <c r="N190" s="13">
        <f t="shared" ca="1" si="134"/>
        <v>0.3050092156770815</v>
      </c>
      <c r="O190" s="13">
        <f t="shared" ca="1" si="134"/>
        <v>0.11140780400177978</v>
      </c>
      <c r="P190" s="13">
        <f t="shared" ca="1" si="134"/>
        <v>5.4636999424214509E-2</v>
      </c>
      <c r="Q190" s="13">
        <f t="shared" ca="1" si="134"/>
        <v>0.1150534355941374</v>
      </c>
      <c r="R190" s="13">
        <f t="shared" ca="1" si="134"/>
        <v>7.7703526494117575E-2</v>
      </c>
      <c r="S190" s="13">
        <f t="shared" ca="1" si="134"/>
        <v>7.6185407075165718E-2</v>
      </c>
    </row>
    <row r="191" spans="1:19" x14ac:dyDescent="0.35">
      <c r="A191" s="18">
        <v>2016</v>
      </c>
      <c r="B191" s="141">
        <f t="shared" ca="1" si="135"/>
        <v>4424752618.4899998</v>
      </c>
      <c r="C191" s="141">
        <f t="shared" ca="1" si="136"/>
        <v>983751659.32000005</v>
      </c>
      <c r="D191" s="141">
        <f t="shared" ca="1" si="137"/>
        <v>219125451.82999998</v>
      </c>
      <c r="E191" s="141">
        <f t="shared" ca="1" si="138"/>
        <v>1374407014.6200001</v>
      </c>
      <c r="F191" s="141">
        <f t="shared" ca="1" si="139"/>
        <v>494743427.01999992</v>
      </c>
      <c r="G191" s="141">
        <f t="shared" ca="1" si="140"/>
        <v>219238051.47000003</v>
      </c>
      <c r="H191" s="141">
        <f t="shared" ca="1" si="141"/>
        <v>429660980.82999998</v>
      </c>
      <c r="I191" s="141">
        <f t="shared" ca="1" si="142"/>
        <v>367887384.15999997</v>
      </c>
      <c r="J191" s="141">
        <f t="shared" ca="1" si="143"/>
        <v>335938649.24000001</v>
      </c>
      <c r="L191" s="13">
        <f t="shared" ref="L191" ca="1" si="144">C191/$B191</f>
        <v>0.22232918857635869</v>
      </c>
      <c r="M191" s="13">
        <f t="shared" ref="M191" ca="1" si="145">D191/$B191</f>
        <v>4.9522644704322293E-2</v>
      </c>
      <c r="N191" s="13">
        <f t="shared" ref="N191" ca="1" si="146">E191/$B191</f>
        <v>0.31061782050293085</v>
      </c>
      <c r="O191" s="13">
        <f t="shared" ref="O191" ca="1" si="147">F191/$B191</f>
        <v>0.11181267512054427</v>
      </c>
      <c r="P191" s="13">
        <f t="shared" ref="P191" ca="1" si="148">G191/$B191</f>
        <v>4.9548092373312765E-2</v>
      </c>
      <c r="Q191" s="13">
        <f t="shared" ref="Q191" ca="1" si="149">H191/$B191</f>
        <v>9.7103955379233609E-2</v>
      </c>
      <c r="R191" s="13">
        <f t="shared" ref="R191" ca="1" si="150">I191/$B191</f>
        <v>8.3143040047636826E-2</v>
      </c>
      <c r="S191" s="13">
        <f t="shared" ref="S191" ca="1" si="151">J191/$B191</f>
        <v>7.5922583295660748E-2</v>
      </c>
    </row>
    <row r="192" spans="1:19" x14ac:dyDescent="0.35">
      <c r="A192" s="18">
        <v>2017</v>
      </c>
      <c r="B192" s="141">
        <f t="shared" ca="1" si="135"/>
        <v>4376449592.0299997</v>
      </c>
      <c r="C192" s="141">
        <f t="shared" ca="1" si="136"/>
        <v>990337639.98000002</v>
      </c>
      <c r="D192" s="141">
        <f t="shared" ca="1" si="137"/>
        <v>197990159.00999999</v>
      </c>
      <c r="E192" s="141">
        <f t="shared" ca="1" si="138"/>
        <v>1349421127.1599998</v>
      </c>
      <c r="F192" s="141">
        <f t="shared" ca="1" si="139"/>
        <v>500186537.64999998</v>
      </c>
      <c r="G192" s="141">
        <f t="shared" ca="1" si="140"/>
        <v>226401182.44</v>
      </c>
      <c r="H192" s="141">
        <f t="shared" ca="1" si="141"/>
        <v>429256307.56999999</v>
      </c>
      <c r="I192" s="141">
        <f t="shared" ca="1" si="142"/>
        <v>332570367.75</v>
      </c>
      <c r="J192" s="141">
        <f t="shared" ca="1" si="143"/>
        <v>350286270.47000003</v>
      </c>
      <c r="L192" s="13">
        <f t="shared" ref="L192" ca="1" si="152">C192/$B192</f>
        <v>0.22628791196030562</v>
      </c>
      <c r="M192" s="13">
        <f t="shared" ref="M192" ca="1" si="153">D192/$B192</f>
        <v>4.5239903909909542E-2</v>
      </c>
      <c r="N192" s="13">
        <f t="shared" ref="N192" ca="1" si="154">E192/$B192</f>
        <v>0.30833695185646498</v>
      </c>
      <c r="O192" s="13">
        <f t="shared" ref="O192" ca="1" si="155">F192/$B192</f>
        <v>0.11429048298897242</v>
      </c>
      <c r="P192" s="13">
        <f t="shared" ref="P192" ca="1" si="156">G192/$B192</f>
        <v>5.1731701160754068E-2</v>
      </c>
      <c r="Q192" s="13">
        <f t="shared" ref="Q192" ca="1" si="157">H192/$B192</f>
        <v>9.8083229006389869E-2</v>
      </c>
      <c r="R192" s="13">
        <f t="shared" ref="R192" ca="1" si="158">I192/$B192</f>
        <v>7.5990905586036578E-2</v>
      </c>
      <c r="S192" s="13">
        <f t="shared" ref="S192" ca="1" si="159">J192/$B192</f>
        <v>8.0038913531166947E-2</v>
      </c>
    </row>
    <row r="193" spans="1:19" x14ac:dyDescent="0.35">
      <c r="A193" s="18">
        <v>2018</v>
      </c>
      <c r="B193" s="141">
        <f t="shared" ca="1" si="135"/>
        <v>4396778230.599</v>
      </c>
      <c r="C193" s="141">
        <f t="shared" ca="1" si="136"/>
        <v>999319416.71899998</v>
      </c>
      <c r="D193" s="141">
        <f t="shared" ca="1" si="137"/>
        <v>191476096.61999997</v>
      </c>
      <c r="E193" s="141">
        <f t="shared" ca="1" si="138"/>
        <v>1323482368.8800001</v>
      </c>
      <c r="F193" s="141">
        <f t="shared" ca="1" si="139"/>
        <v>523200300.48000008</v>
      </c>
      <c r="G193" s="141">
        <f t="shared" ca="1" si="140"/>
        <v>237786049.06999999</v>
      </c>
      <c r="H193" s="141">
        <f t="shared" ca="1" si="141"/>
        <v>427716618.96000004</v>
      </c>
      <c r="I193" s="141">
        <f t="shared" ca="1" si="142"/>
        <v>319771871.96999997</v>
      </c>
      <c r="J193" s="141">
        <f t="shared" ca="1" si="143"/>
        <v>374025507.89999998</v>
      </c>
      <c r="L193" s="13">
        <f t="shared" ref="L193" ca="1" si="160">C193/$B193</f>
        <v>0.22728447156245507</v>
      </c>
      <c r="M193" s="13">
        <f t="shared" ref="M193" ca="1" si="161">D193/$B193</f>
        <v>4.3549182282480968E-2</v>
      </c>
      <c r="N193" s="13">
        <f t="shared" ref="N193" ca="1" si="162">E193/$B193</f>
        <v>0.30101185446865125</v>
      </c>
      <c r="O193" s="13">
        <f t="shared" ref="O193" ca="1" si="163">F193/$B193</f>
        <v>0.11899629070186724</v>
      </c>
      <c r="P193" s="13">
        <f t="shared" ref="P193" ca="1" si="164">G193/$B193</f>
        <v>5.4081883733673085E-2</v>
      </c>
      <c r="Q193" s="13">
        <f t="shared" ref="Q193" ca="1" si="165">H193/$B193</f>
        <v>9.7279552555856241E-2</v>
      </c>
      <c r="R193" s="13">
        <f t="shared" ref="R193" ca="1" si="166">I193/$B193</f>
        <v>7.2728678864122626E-2</v>
      </c>
      <c r="S193" s="13">
        <f t="shared" ref="S193" ca="1" si="167">J193/$B193</f>
        <v>8.506808583089355E-2</v>
      </c>
    </row>
    <row r="194" spans="1:19" x14ac:dyDescent="0.35">
      <c r="A194" s="18">
        <v>2019</v>
      </c>
      <c r="B194" s="141">
        <f t="shared" ca="1" si="135"/>
        <v>4560832640.3000002</v>
      </c>
      <c r="C194" s="141">
        <f t="shared" ca="1" si="136"/>
        <v>1049006149.08</v>
      </c>
      <c r="D194" s="141">
        <f t="shared" ca="1" si="137"/>
        <v>188013021.19999999</v>
      </c>
      <c r="E194" s="141">
        <f t="shared" ca="1" si="138"/>
        <v>1353685246.54</v>
      </c>
      <c r="F194" s="141">
        <f t="shared" ca="1" si="139"/>
        <v>535105537.19</v>
      </c>
      <c r="G194" s="141">
        <f t="shared" ca="1" si="140"/>
        <v>280600021.37</v>
      </c>
      <c r="H194" s="141">
        <f t="shared" ca="1" si="141"/>
        <v>429115881.46000004</v>
      </c>
      <c r="I194" s="141">
        <f t="shared" ca="1" si="142"/>
        <v>350860480.07999998</v>
      </c>
      <c r="J194" s="141">
        <f t="shared" ca="1" si="143"/>
        <v>374446303.38</v>
      </c>
      <c r="L194" s="58">
        <f t="shared" ref="L194" ca="1" si="168">C194/$B194</f>
        <v>0.23000321033726839</v>
      </c>
      <c r="M194" s="58">
        <f t="shared" ref="M194" ca="1" si="169">D194/$B194</f>
        <v>4.1223398451128643E-2</v>
      </c>
      <c r="N194" s="58">
        <f t="shared" ref="N194" ca="1" si="170">E194/$B194</f>
        <v>0.29680660381586771</v>
      </c>
      <c r="O194" s="58">
        <f t="shared" ref="O194" ca="1" si="171">F194/$B194</f>
        <v>0.11732628214895473</v>
      </c>
      <c r="P194" s="58">
        <f t="shared" ref="P194" ca="1" si="172">G194/$B194</f>
        <v>6.1523858360990599E-2</v>
      </c>
      <c r="Q194" s="58">
        <f t="shared" ref="Q194" ca="1" si="173">H194/$B194</f>
        <v>9.4087179974175469E-2</v>
      </c>
      <c r="R194" s="58">
        <f t="shared" ref="R194" ca="1" si="174">I194/$B194</f>
        <v>7.6929040758864864E-2</v>
      </c>
      <c r="S194" s="58">
        <f t="shared" ref="S194" ca="1" si="175">J194/$B194</f>
        <v>8.2100426152749567E-2</v>
      </c>
    </row>
    <row r="195" spans="1:19" x14ac:dyDescent="0.35">
      <c r="A195" s="18">
        <v>2020</v>
      </c>
      <c r="B195" s="141">
        <f t="shared" ca="1" si="135"/>
        <v>4449947375.9520006</v>
      </c>
      <c r="C195" s="141">
        <f t="shared" ca="1" si="136"/>
        <v>1032530132.74</v>
      </c>
      <c r="D195" s="141">
        <f t="shared" ca="1" si="137"/>
        <v>150310640.76999998</v>
      </c>
      <c r="E195" s="141">
        <f t="shared" ca="1" si="138"/>
        <v>1342531947.5820003</v>
      </c>
      <c r="F195" s="141">
        <f t="shared" ca="1" si="139"/>
        <v>514714364.87999994</v>
      </c>
      <c r="G195" s="141">
        <f t="shared" ca="1" si="140"/>
        <v>270628037.91000003</v>
      </c>
      <c r="H195" s="141">
        <f t="shared" ca="1" si="141"/>
        <v>446044159.47000003</v>
      </c>
      <c r="I195" s="141">
        <f t="shared" ca="1" si="142"/>
        <v>328558074.88999999</v>
      </c>
      <c r="J195" s="141">
        <f t="shared" ca="1" si="143"/>
        <v>364630017.70999998</v>
      </c>
      <c r="L195" s="13">
        <f t="shared" ref="L195" ca="1" si="176">C195/$B195</f>
        <v>0.23203198723650195</v>
      </c>
      <c r="M195" s="13">
        <f t="shared" ref="M195" ca="1" si="177">D195/$B195</f>
        <v>3.3778071530080341E-2</v>
      </c>
      <c r="N195" s="13">
        <f t="shared" ref="N195" ca="1" si="178">E195/$B195</f>
        <v>0.30169614023689106</v>
      </c>
      <c r="O195" s="13">
        <f t="shared" ref="O195" ca="1" si="179">F195/$B195</f>
        <v>0.11566751725235501</v>
      </c>
      <c r="P195" s="13">
        <f t="shared" ref="P195" ca="1" si="180">G195/$B195</f>
        <v>6.0816008605518203E-2</v>
      </c>
      <c r="Q195" s="13">
        <f t="shared" ref="Q195" ca="1" si="181">H195/$B195</f>
        <v>0.10023582792921804</v>
      </c>
      <c r="R195" s="13">
        <f t="shared" ref="R195" ca="1" si="182">I195/$B195</f>
        <v>7.3834148391408755E-2</v>
      </c>
      <c r="S195" s="13">
        <f t="shared" ref="S195" ca="1" si="183">J195/$B195</f>
        <v>8.194029881802653E-2</v>
      </c>
    </row>
    <row r="196" spans="1:19" x14ac:dyDescent="0.35">
      <c r="A196" s="18">
        <v>2021</v>
      </c>
      <c r="B196" s="141">
        <f t="shared" ca="1" si="135"/>
        <v>5267531372.9730015</v>
      </c>
      <c r="C196" s="141">
        <f t="shared" ca="1" si="136"/>
        <v>1159978881.109</v>
      </c>
      <c r="D196" s="141">
        <f t="shared" ca="1" si="137"/>
        <v>211544007.75</v>
      </c>
      <c r="E196" s="141">
        <f t="shared" ca="1" si="138"/>
        <v>1494113511.5800002</v>
      </c>
      <c r="F196" s="141">
        <f t="shared" ca="1" si="139"/>
        <v>622338537.31000006</v>
      </c>
      <c r="G196" s="141">
        <f t="shared" ca="1" si="140"/>
        <v>310903037.99999994</v>
      </c>
      <c r="H196" s="141">
        <f t="shared" ca="1" si="141"/>
        <v>520478714.19</v>
      </c>
      <c r="I196" s="141">
        <f t="shared" ca="1" si="142"/>
        <v>403208694.87</v>
      </c>
      <c r="J196" s="141">
        <f t="shared" ca="1" si="143"/>
        <v>544965988.16400003</v>
      </c>
      <c r="L196" s="13">
        <f ca="1">C196/$B196</f>
        <v>0.22021299902658317</v>
      </c>
      <c r="M196" s="13">
        <f t="shared" ref="M196" ca="1" si="184">D196/$B196</f>
        <v>4.0159990092399636E-2</v>
      </c>
      <c r="N196" s="13">
        <f t="shared" ref="N196" ca="1" si="185">E196/$B196</f>
        <v>0.28364586858392465</v>
      </c>
      <c r="O196" s="13">
        <f t="shared" ref="O196" ca="1" si="186">F196/$B196</f>
        <v>0.11814614726418828</v>
      </c>
      <c r="P196" s="13">
        <f t="shared" ref="P196" ca="1" si="187">G196/$B196</f>
        <v>5.9022531805923706E-2</v>
      </c>
      <c r="Q196" s="13">
        <f t="shared" ref="Q196" ca="1" si="188">H196/$B196</f>
        <v>9.8808849409138144E-2</v>
      </c>
      <c r="R196" s="13">
        <f t="shared" ref="R196" ca="1" si="189">I196/$B196</f>
        <v>7.6546045257330567E-2</v>
      </c>
      <c r="S196" s="13">
        <f t="shared" ref="S196" ca="1" si="190">J196/$B196</f>
        <v>0.10345756856051158</v>
      </c>
    </row>
    <row r="197" spans="1:19" x14ac:dyDescent="0.35">
      <c r="A197" s="18">
        <v>2022</v>
      </c>
      <c r="B197" s="141">
        <f t="shared" ca="1" si="135"/>
        <v>5521149023.0699997</v>
      </c>
      <c r="C197" s="141">
        <f t="shared" ca="1" si="136"/>
        <v>1231329608.0599999</v>
      </c>
      <c r="D197" s="141">
        <f t="shared" ca="1" si="137"/>
        <v>207629179.72999999</v>
      </c>
      <c r="E197" s="141">
        <f t="shared" ca="1" si="138"/>
        <v>1447911236.8000002</v>
      </c>
      <c r="F197" s="141">
        <f t="shared" ca="1" si="139"/>
        <v>654025538.42000008</v>
      </c>
      <c r="G197" s="141">
        <f t="shared" ca="1" si="140"/>
        <v>322947769.69000006</v>
      </c>
      <c r="H197" s="141">
        <f t="shared" ca="1" si="141"/>
        <v>536835847.60000002</v>
      </c>
      <c r="I197" s="141">
        <f t="shared" ca="1" si="142"/>
        <v>536369245.61000001</v>
      </c>
      <c r="J197" s="141">
        <f t="shared" ca="1" si="143"/>
        <v>584100597.16000009</v>
      </c>
      <c r="L197" s="13">
        <f ca="1">C197/$B197</f>
        <v>0.22302053484064935</v>
      </c>
      <c r="M197" s="13">
        <f t="shared" ref="M197" ca="1" si="191">D197/$B197</f>
        <v>3.7606153875294077E-2</v>
      </c>
      <c r="N197" s="13">
        <f t="shared" ref="N197" ca="1" si="192">E197/$B197</f>
        <v>0.26224817166679165</v>
      </c>
      <c r="O197" s="13">
        <f t="shared" ref="O197" ca="1" si="193">F197/$B197</f>
        <v>0.11845822956184822</v>
      </c>
      <c r="P197" s="13">
        <f t="shared" ref="P197" ca="1" si="194">G197/$B197</f>
        <v>5.8492855081536455E-2</v>
      </c>
      <c r="Q197" s="13">
        <f t="shared" ref="Q197" ca="1" si="195">H197/$B197</f>
        <v>9.7232631352068791E-2</v>
      </c>
      <c r="R197" s="13">
        <f t="shared" ref="R197" ca="1" si="196">I197/$B197</f>
        <v>9.7148119597712884E-2</v>
      </c>
      <c r="S197" s="13">
        <f t="shared" ref="S197" ca="1" si="197">J197/$B197</f>
        <v>0.10579330402409871</v>
      </c>
    </row>
    <row r="198" spans="1:19" x14ac:dyDescent="0.35">
      <c r="A198" s="18">
        <v>2023</v>
      </c>
      <c r="B198" s="141">
        <f t="shared" ca="1" si="135"/>
        <v>5656626303</v>
      </c>
      <c r="C198" s="141">
        <f t="shared" ca="1" si="136"/>
        <v>1308061414</v>
      </c>
      <c r="D198" s="141">
        <f t="shared" ca="1" si="137"/>
        <v>204499771</v>
      </c>
      <c r="E198" s="141">
        <f t="shared" ca="1" si="138"/>
        <v>1480184213</v>
      </c>
      <c r="F198" s="141">
        <f t="shared" ca="1" si="139"/>
        <v>676808337</v>
      </c>
      <c r="G198" s="141">
        <f t="shared" ca="1" si="140"/>
        <v>279234790</v>
      </c>
      <c r="H198" s="141">
        <f t="shared" ca="1" si="141"/>
        <v>518070733</v>
      </c>
      <c r="I198" s="141">
        <f t="shared" ca="1" si="142"/>
        <v>578508552</v>
      </c>
      <c r="J198" s="141">
        <f t="shared" ca="1" si="143"/>
        <v>611258493</v>
      </c>
      <c r="L198" s="13">
        <f ca="1">C198/$B198</f>
        <v>0.23124409213779382</v>
      </c>
      <c r="M198" s="13">
        <f t="shared" ref="M198" ca="1" si="198">D198/$B198</f>
        <v>3.6152250483922413E-2</v>
      </c>
      <c r="N198" s="13">
        <f t="shared" ref="N198" ca="1" si="199">E198/$B198</f>
        <v>0.2616726178667631</v>
      </c>
      <c r="O198" s="13">
        <f t="shared" ref="O198" ca="1" si="200">F198/$B198</f>
        <v>0.11964876248605175</v>
      </c>
      <c r="P198" s="13">
        <f t="shared" ref="P198" ca="1" si="201">G198/$B198</f>
        <v>4.936419254917148E-2</v>
      </c>
      <c r="Q198" s="13">
        <f t="shared" ref="Q198" ca="1" si="202">H198/$B198</f>
        <v>9.1586522646058557E-2</v>
      </c>
      <c r="R198" s="13">
        <f t="shared" ref="R198" ca="1" si="203">I198/$B198</f>
        <v>0.10227095109556507</v>
      </c>
      <c r="S198" s="13">
        <f t="shared" ref="S198" ca="1" si="204">J198/$B198</f>
        <v>0.10806061073467381</v>
      </c>
    </row>
    <row r="199" spans="1:19" ht="15" thickBot="1" x14ac:dyDescent="0.4">
      <c r="A199" s="189" t="s">
        <v>12</v>
      </c>
      <c r="B199" s="311">
        <f t="shared" ca="1" si="135"/>
        <v>5790012316.79</v>
      </c>
      <c r="C199" s="311">
        <f t="shared" ca="1" si="136"/>
        <v>1399695666.01</v>
      </c>
      <c r="D199" s="311">
        <f t="shared" ca="1" si="137"/>
        <v>220047127.40000001</v>
      </c>
      <c r="E199" s="311">
        <f t="shared" ca="1" si="138"/>
        <v>1479497207.9200001</v>
      </c>
      <c r="F199" s="311">
        <f t="shared" ca="1" si="139"/>
        <v>676788112.15999997</v>
      </c>
      <c r="G199" s="311">
        <f t="shared" ca="1" si="140"/>
        <v>279200039.79000002</v>
      </c>
      <c r="H199" s="311">
        <f t="shared" ca="1" si="141"/>
        <v>512572824.50999999</v>
      </c>
      <c r="I199" s="311">
        <f t="shared" ca="1" si="142"/>
        <v>579649764.37</v>
      </c>
      <c r="J199" s="311">
        <f t="shared" ca="1" si="143"/>
        <v>642561574.63</v>
      </c>
      <c r="L199" s="172">
        <f ca="1">C199/$B199</f>
        <v>0.24174312409511339</v>
      </c>
      <c r="M199" s="172">
        <f t="shared" ref="M199" ca="1" si="205">D199/$B199</f>
        <v>3.8004604370512771E-2</v>
      </c>
      <c r="N199" s="172">
        <f t="shared" ref="N199" ca="1" si="206">E199/$B199</f>
        <v>0.25552574450139298</v>
      </c>
      <c r="O199" s="172">
        <f t="shared" ref="O199" ca="1" si="207">F199/$B199</f>
        <v>0.11688888989017096</v>
      </c>
      <c r="P199" s="172">
        <f t="shared" ref="P199" ca="1" si="208">G199/$B199</f>
        <v>4.8220975105764431E-2</v>
      </c>
      <c r="Q199" s="172">
        <f t="shared" ref="Q199" ca="1" si="209">H199/$B199</f>
        <v>8.8527069799770625E-2</v>
      </c>
      <c r="R199" s="172">
        <f t="shared" ref="R199" ca="1" si="210">I199/$B199</f>
        <v>0.10011200886207433</v>
      </c>
      <c r="S199" s="172">
        <f t="shared" ref="S199" ca="1" si="211">J199/$B199</f>
        <v>0.1109775833752005</v>
      </c>
    </row>
    <row r="200" spans="1:19" ht="15" thickBot="1" x14ac:dyDescent="0.4"/>
    <row r="201" spans="1:19" ht="29.5" thickBot="1" x14ac:dyDescent="0.4">
      <c r="A201" s="87"/>
      <c r="B201" s="21" t="s">
        <v>19</v>
      </c>
      <c r="C201" s="88" t="s">
        <v>20</v>
      </c>
      <c r="D201" s="21" t="s">
        <v>21</v>
      </c>
      <c r="E201" s="88" t="s">
        <v>22</v>
      </c>
      <c r="F201" s="21" t="s">
        <v>23</v>
      </c>
      <c r="G201" s="88" t="s">
        <v>24</v>
      </c>
      <c r="H201" s="21" t="s">
        <v>25</v>
      </c>
      <c r="I201" s="88" t="s">
        <v>26</v>
      </c>
      <c r="J201" s="21" t="s">
        <v>27</v>
      </c>
      <c r="L201"/>
      <c r="Q201" s="17"/>
    </row>
    <row r="202" spans="1:19" x14ac:dyDescent="0.35">
      <c r="A202" s="188" t="s">
        <v>11</v>
      </c>
      <c r="B202" s="91">
        <f>SUM(B158:B169)</f>
        <v>5656626303</v>
      </c>
      <c r="C202" s="91">
        <f>SUM(C158:C169)</f>
        <v>1308061414</v>
      </c>
      <c r="D202" s="91">
        <f t="shared" ref="D202:J202" si="212">SUM(D158:D169)</f>
        <v>204499771</v>
      </c>
      <c r="E202" s="91">
        <f t="shared" si="212"/>
        <v>1480184213</v>
      </c>
      <c r="F202" s="91">
        <f t="shared" si="212"/>
        <v>676808337</v>
      </c>
      <c r="G202" s="91">
        <f t="shared" si="212"/>
        <v>279234790</v>
      </c>
      <c r="H202" s="91">
        <f t="shared" si="212"/>
        <v>518070733</v>
      </c>
      <c r="I202" s="91">
        <f t="shared" si="212"/>
        <v>578508552</v>
      </c>
      <c r="J202" s="91">
        <f t="shared" si="212"/>
        <v>611258493</v>
      </c>
      <c r="L202"/>
      <c r="Q202" s="17"/>
    </row>
    <row r="203" spans="1:19" x14ac:dyDescent="0.35">
      <c r="A203" s="188" t="s">
        <v>12</v>
      </c>
      <c r="B203" s="91">
        <f>SUM(B170:B181)</f>
        <v>5790012316.79</v>
      </c>
      <c r="C203" s="91">
        <f>SUM(C170:C181)</f>
        <v>1399695666.01</v>
      </c>
      <c r="D203" s="91">
        <f t="shared" ref="D203:J203" si="213">SUM(D170:D181)</f>
        <v>220047127.40000001</v>
      </c>
      <c r="E203" s="91">
        <f t="shared" si="213"/>
        <v>1479497207.9200001</v>
      </c>
      <c r="F203" s="91">
        <f t="shared" si="213"/>
        <v>676788112.15999997</v>
      </c>
      <c r="G203" s="91">
        <f t="shared" si="213"/>
        <v>279200039.79000002</v>
      </c>
      <c r="H203" s="91">
        <f t="shared" si="213"/>
        <v>512572824.50999999</v>
      </c>
      <c r="I203" s="91">
        <f t="shared" si="213"/>
        <v>579649764.37</v>
      </c>
      <c r="J203" s="91">
        <f t="shared" si="213"/>
        <v>642561574.63</v>
      </c>
      <c r="L203"/>
      <c r="Q203" s="17"/>
    </row>
    <row r="204" spans="1:19" ht="29.5" thickBot="1" x14ac:dyDescent="0.4">
      <c r="A204" s="83" t="s">
        <v>28</v>
      </c>
      <c r="B204" s="92">
        <f>(B203-B202)/B202</f>
        <v>2.3580488907188106E-2</v>
      </c>
      <c r="C204" s="89">
        <f>(C203-C202)/C202</f>
        <v>7.0053478398836092E-2</v>
      </c>
      <c r="D204" s="92">
        <f t="shared" ref="D204:J204" si="214">(D203-D202)/D202</f>
        <v>7.6026277799597169E-2</v>
      </c>
      <c r="E204" s="89">
        <f>(E203-E202)/E202</f>
        <v>-4.6413485157196697E-4</v>
      </c>
      <c r="F204" s="92">
        <f t="shared" si="214"/>
        <v>-2.9882669722541225E-5</v>
      </c>
      <c r="G204" s="89">
        <f t="shared" si="214"/>
        <v>-1.2444799589613652E-4</v>
      </c>
      <c r="H204" s="92">
        <f t="shared" si="214"/>
        <v>-1.061227384562565E-2</v>
      </c>
      <c r="I204" s="89">
        <f t="shared" si="214"/>
        <v>1.9726802068087746E-3</v>
      </c>
      <c r="J204" s="92">
        <f t="shared" si="214"/>
        <v>5.1210873940364207E-2</v>
      </c>
      <c r="L204"/>
      <c r="N204" s="287"/>
      <c r="O204" s="288"/>
      <c r="Q204" s="17"/>
    </row>
    <row r="205" spans="1:19" ht="15" thickBot="1" x14ac:dyDescent="0.4">
      <c r="N205" s="288"/>
    </row>
    <row r="206" spans="1:19" ht="29.5" thickBot="1" x14ac:dyDescent="0.4">
      <c r="A206" s="87"/>
      <c r="B206" s="21" t="s">
        <v>19</v>
      </c>
      <c r="C206" s="88" t="s">
        <v>20</v>
      </c>
      <c r="D206" s="21" t="s">
        <v>21</v>
      </c>
      <c r="E206" s="88" t="s">
        <v>22</v>
      </c>
      <c r="F206" s="21" t="s">
        <v>23</v>
      </c>
      <c r="G206" s="22" t="s">
        <v>24</v>
      </c>
      <c r="H206" s="23" t="s">
        <v>25</v>
      </c>
      <c r="I206" s="24" t="s">
        <v>26</v>
      </c>
      <c r="J206" s="21" t="s">
        <v>27</v>
      </c>
      <c r="L206"/>
      <c r="Q206" s="17"/>
    </row>
    <row r="207" spans="1:19" ht="29" x14ac:dyDescent="0.35">
      <c r="A207" s="84" t="s">
        <v>17</v>
      </c>
      <c r="B207" s="91">
        <f>B169</f>
        <v>551136273</v>
      </c>
      <c r="C207" s="91">
        <f>C169</f>
        <v>130096426</v>
      </c>
      <c r="D207" s="91">
        <f t="shared" ref="D207:J207" si="215">D169</f>
        <v>27295311</v>
      </c>
      <c r="E207" s="91">
        <f t="shared" si="215"/>
        <v>169396118</v>
      </c>
      <c r="F207" s="91">
        <f t="shared" si="215"/>
        <v>51130498</v>
      </c>
      <c r="G207" s="91">
        <f t="shared" si="215"/>
        <v>24582657</v>
      </c>
      <c r="H207" s="91">
        <f t="shared" si="215"/>
        <v>36843507</v>
      </c>
      <c r="I207" s="91">
        <f t="shared" si="215"/>
        <v>49862208</v>
      </c>
      <c r="J207" s="91">
        <f t="shared" si="215"/>
        <v>61929548</v>
      </c>
      <c r="L207"/>
      <c r="Q207" s="17"/>
    </row>
    <row r="208" spans="1:19" ht="29" x14ac:dyDescent="0.35">
      <c r="A208" s="84" t="s">
        <v>18</v>
      </c>
      <c r="B208" s="91">
        <f>B181</f>
        <v>575862491.59000003</v>
      </c>
      <c r="C208" s="91">
        <f>C181</f>
        <v>132613735.00999998</v>
      </c>
      <c r="D208" s="91">
        <f t="shared" ref="D208:J208" si="216">D181</f>
        <v>26318448.399999999</v>
      </c>
      <c r="E208" s="91">
        <f t="shared" si="216"/>
        <v>170115265.69999999</v>
      </c>
      <c r="F208" s="91">
        <f t="shared" si="216"/>
        <v>55005231.419999994</v>
      </c>
      <c r="G208" s="91">
        <f t="shared" si="216"/>
        <v>23625169.850000001</v>
      </c>
      <c r="H208" s="91">
        <f t="shared" si="216"/>
        <v>43347814.199999996</v>
      </c>
      <c r="I208" s="91">
        <f t="shared" si="216"/>
        <v>57096253.040000007</v>
      </c>
      <c r="J208" s="91">
        <f t="shared" si="216"/>
        <v>67740573.969999999</v>
      </c>
      <c r="L208"/>
      <c r="Q208" s="17"/>
    </row>
    <row r="209" spans="1:17" ht="29.5" thickBot="1" x14ac:dyDescent="0.4">
      <c r="A209" s="83" t="s">
        <v>28</v>
      </c>
      <c r="B209" s="92">
        <f>(B208-B207)/B207</f>
        <v>4.4864074098058926E-2</v>
      </c>
      <c r="C209" s="89">
        <f>(C208-C207)/C207</f>
        <v>1.9349563146338667E-2</v>
      </c>
      <c r="D209" s="92">
        <f t="shared" ref="D209:F209" si="217">(D208-D207)/D207</f>
        <v>-3.5788659817798066E-2</v>
      </c>
      <c r="E209" s="89">
        <f>(E208-E207)/E207</f>
        <v>4.2453611599292266E-3</v>
      </c>
      <c r="F209" s="92">
        <f t="shared" si="217"/>
        <v>7.5781257205826444E-2</v>
      </c>
      <c r="G209" s="89">
        <f>(G208-G207)/G207</f>
        <v>-3.8949701409412271E-2</v>
      </c>
      <c r="H209" s="92">
        <f>(H208-H207)/H207</f>
        <v>0.17653876434727009</v>
      </c>
      <c r="I209" s="89">
        <f>(I208-I207)/I207</f>
        <v>0.14508072005154699</v>
      </c>
      <c r="J209" s="92">
        <f>(J208-J207)/J207</f>
        <v>9.3832849708510691E-2</v>
      </c>
      <c r="L209"/>
      <c r="Q209" s="17"/>
    </row>
    <row r="212" spans="1:17" x14ac:dyDescent="0.35">
      <c r="B212" s="313"/>
      <c r="C212" s="313"/>
      <c r="D212" s="313"/>
      <c r="E212" s="313"/>
      <c r="F212" s="313"/>
      <c r="G212" s="313"/>
      <c r="I212" s="313"/>
      <c r="J212" s="313"/>
    </row>
    <row r="214" spans="1:17" x14ac:dyDescent="0.35">
      <c r="C214" s="123"/>
      <c r="D214" s="123"/>
      <c r="E214" s="133"/>
    </row>
    <row r="216" spans="1:17" x14ac:dyDescent="0.35">
      <c r="C216" s="123"/>
      <c r="D216" s="123"/>
      <c r="E216" s="123"/>
    </row>
  </sheetData>
  <pageMargins left="0.7" right="0.7" top="0.75" bottom="0.75" header="0.3" footer="0.3"/>
  <pageSetup orientation="portrait" r:id="rId1"/>
  <ignoredErrors>
    <ignoredError sqref="B185:J185" formulaRange="1"/>
    <ignoredError sqref="L148:S15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C42"/>
  <sheetViews>
    <sheetView workbookViewId="0">
      <selection activeCell="G51" sqref="G51"/>
    </sheetView>
  </sheetViews>
  <sheetFormatPr defaultColWidth="9.1796875" defaultRowHeight="13" x14ac:dyDescent="0.3"/>
  <cols>
    <col min="1" max="1" width="9.1796875" style="130"/>
    <col min="2" max="3" width="14.54296875" style="130" customWidth="1"/>
    <col min="4" max="16384" width="9.1796875" style="130"/>
  </cols>
  <sheetData>
    <row r="1" spans="2:3" ht="8.25" customHeight="1" thickBot="1" x14ac:dyDescent="0.35"/>
    <row r="2" spans="2:3" ht="27" customHeight="1" thickBot="1" x14ac:dyDescent="0.35">
      <c r="B2" s="291" t="s">
        <v>29</v>
      </c>
      <c r="C2" s="292" t="s">
        <v>30</v>
      </c>
    </row>
    <row r="3" spans="2:3" ht="15.75" customHeight="1" x14ac:dyDescent="0.3">
      <c r="B3" s="302">
        <v>45283</v>
      </c>
      <c r="C3" s="289">
        <v>796821297</v>
      </c>
    </row>
    <row r="4" spans="2:3" ht="15.75" customHeight="1" x14ac:dyDescent="0.3">
      <c r="B4" s="302">
        <v>45293</v>
      </c>
      <c r="C4" s="289">
        <v>657566291</v>
      </c>
    </row>
    <row r="5" spans="2:3" ht="15.75" customHeight="1" x14ac:dyDescent="0.3">
      <c r="B5" s="302">
        <v>45324</v>
      </c>
      <c r="C5" s="289">
        <v>661905283</v>
      </c>
    </row>
    <row r="6" spans="2:3" ht="15.75" customHeight="1" x14ac:dyDescent="0.3">
      <c r="B6" s="302">
        <v>45353</v>
      </c>
      <c r="C6" s="289">
        <v>742239057</v>
      </c>
    </row>
    <row r="7" spans="2:3" ht="15.75" customHeight="1" x14ac:dyDescent="0.3">
      <c r="B7" s="302">
        <v>45384</v>
      </c>
      <c r="C7" s="289">
        <v>725285670</v>
      </c>
    </row>
    <row r="8" spans="2:3" ht="15.75" customHeight="1" x14ac:dyDescent="0.3">
      <c r="B8" s="302">
        <v>45414</v>
      </c>
      <c r="C8" s="289">
        <v>714953386</v>
      </c>
    </row>
    <row r="9" spans="2:3" ht="15.75" customHeight="1" x14ac:dyDescent="0.3">
      <c r="B9" s="302">
        <v>45445</v>
      </c>
      <c r="C9" s="289">
        <v>721090563</v>
      </c>
    </row>
    <row r="10" spans="2:3" ht="15.75" customHeight="1" x14ac:dyDescent="0.3">
      <c r="B10" s="302">
        <v>45475</v>
      </c>
      <c r="C10" s="289">
        <v>690267435</v>
      </c>
    </row>
    <row r="11" spans="2:3" ht="15.75" customHeight="1" x14ac:dyDescent="0.3">
      <c r="B11" s="319">
        <v>45526</v>
      </c>
      <c r="C11" s="289">
        <v>719686939</v>
      </c>
    </row>
    <row r="12" spans="2:3" ht="15.75" customHeight="1" x14ac:dyDescent="0.3">
      <c r="B12" s="319">
        <v>45557</v>
      </c>
      <c r="C12" s="289">
        <v>689964567</v>
      </c>
    </row>
    <row r="13" spans="2:3" ht="15.75" customHeight="1" x14ac:dyDescent="0.3">
      <c r="B13" s="302">
        <v>45587</v>
      </c>
      <c r="C13" s="289">
        <v>734652173</v>
      </c>
    </row>
    <row r="14" spans="2:3" ht="15.75" customHeight="1" x14ac:dyDescent="0.3">
      <c r="B14" s="302">
        <v>45618</v>
      </c>
      <c r="C14" s="289">
        <v>702175184</v>
      </c>
    </row>
    <row r="15" spans="2:3" ht="15.75" customHeight="1" thickBot="1" x14ac:dyDescent="0.35">
      <c r="B15" s="294">
        <v>45648</v>
      </c>
      <c r="C15" s="290">
        <v>827261693</v>
      </c>
    </row>
    <row r="16" spans="2:3" ht="15.75" customHeight="1" x14ac:dyDescent="0.3"/>
    <row r="17" spans="3:3" ht="15.75" customHeight="1" x14ac:dyDescent="0.3">
      <c r="C17" s="131"/>
    </row>
    <row r="18" spans="3:3" x14ac:dyDescent="0.3">
      <c r="C18" s="131"/>
    </row>
    <row r="42" spans="3:3" x14ac:dyDescent="0.3">
      <c r="C42" s="209" t="s">
        <v>31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C446"/>
  <sheetViews>
    <sheetView topLeftCell="A63" workbookViewId="0">
      <selection activeCell="D87" sqref="D87"/>
    </sheetView>
  </sheetViews>
  <sheetFormatPr defaultColWidth="9.1796875" defaultRowHeight="12.5" x14ac:dyDescent="0.25"/>
  <cols>
    <col min="1" max="1" width="4" style="31" bestFit="1" customWidth="1"/>
    <col min="2" max="2" width="27.453125" style="31" customWidth="1"/>
    <col min="3" max="3" width="84" style="27" customWidth="1"/>
    <col min="4" max="16384" width="9.1796875" style="31"/>
  </cols>
  <sheetData>
    <row r="1" spans="1:3" s="26" customFormat="1" ht="54" x14ac:dyDescent="0.4">
      <c r="A1" s="25" t="s">
        <v>32</v>
      </c>
      <c r="B1" s="25"/>
      <c r="C1" s="25"/>
    </row>
    <row r="2" spans="1:3" s="27" customFormat="1" ht="25.5" customHeight="1" x14ac:dyDescent="0.25"/>
    <row r="3" spans="1:3" s="26" customFormat="1" ht="25.5" customHeight="1" x14ac:dyDescent="0.4">
      <c r="A3" s="25" t="s">
        <v>33</v>
      </c>
      <c r="B3" s="28"/>
    </row>
    <row r="4" spans="1:3" s="27" customFormat="1" ht="25.5" customHeight="1" x14ac:dyDescent="0.25">
      <c r="A4" s="27">
        <v>1</v>
      </c>
      <c r="B4" s="27" t="s">
        <v>34</v>
      </c>
      <c r="C4" s="27" t="s">
        <v>35</v>
      </c>
    </row>
    <row r="5" spans="1:3" s="27" customFormat="1" ht="25.5" customHeight="1" x14ac:dyDescent="0.25">
      <c r="A5" s="27">
        <v>2</v>
      </c>
      <c r="B5" s="27" t="s">
        <v>36</v>
      </c>
      <c r="C5" s="27" t="s">
        <v>37</v>
      </c>
    </row>
    <row r="6" spans="1:3" s="27" customFormat="1" ht="25.5" customHeight="1" x14ac:dyDescent="0.25">
      <c r="A6" s="27">
        <v>3</v>
      </c>
      <c r="B6" s="27" t="s">
        <v>38</v>
      </c>
      <c r="C6" s="27" t="s">
        <v>39</v>
      </c>
    </row>
    <row r="7" spans="1:3" s="27" customFormat="1" ht="25.5" customHeight="1" x14ac:dyDescent="0.25">
      <c r="A7" s="27">
        <v>4</v>
      </c>
      <c r="B7" s="27" t="s">
        <v>40</v>
      </c>
      <c r="C7" s="27" t="s">
        <v>41</v>
      </c>
    </row>
    <row r="8" spans="1:3" s="27" customFormat="1" ht="25.5" customHeight="1" x14ac:dyDescent="0.25">
      <c r="A8" s="27">
        <v>5</v>
      </c>
      <c r="B8" s="27" t="s">
        <v>42</v>
      </c>
      <c r="C8" s="27" t="s">
        <v>43</v>
      </c>
    </row>
    <row r="9" spans="1:3" s="27" customFormat="1" ht="25.5" customHeight="1" x14ac:dyDescent="0.25">
      <c r="A9" s="27">
        <v>6</v>
      </c>
      <c r="B9" s="27" t="s">
        <v>44</v>
      </c>
      <c r="C9" s="27" t="s">
        <v>45</v>
      </c>
    </row>
    <row r="10" spans="1:3" s="27" customFormat="1" ht="25.5" customHeight="1" x14ac:dyDescent="0.25">
      <c r="A10" s="27">
        <v>7</v>
      </c>
      <c r="B10" s="27" t="s">
        <v>46</v>
      </c>
      <c r="C10" s="27" t="s">
        <v>47</v>
      </c>
    </row>
    <row r="11" spans="1:3" s="27" customFormat="1" ht="36" customHeight="1" x14ac:dyDescent="0.25">
      <c r="A11" s="27">
        <v>8</v>
      </c>
      <c r="B11" s="27" t="s">
        <v>48</v>
      </c>
      <c r="C11" s="27" t="s">
        <v>49</v>
      </c>
    </row>
    <row r="12" spans="1:3" s="27" customFormat="1" ht="25.5" customHeight="1" x14ac:dyDescent="0.25">
      <c r="A12" s="27">
        <v>9</v>
      </c>
      <c r="B12" s="27" t="s">
        <v>50</v>
      </c>
      <c r="C12" s="27" t="s">
        <v>51</v>
      </c>
    </row>
    <row r="13" spans="1:3" s="27" customFormat="1" ht="25.5" customHeight="1" x14ac:dyDescent="0.25"/>
    <row r="14" spans="1:3" s="26" customFormat="1" ht="25.5" customHeight="1" x14ac:dyDescent="0.4">
      <c r="A14" s="25" t="s">
        <v>52</v>
      </c>
      <c r="B14" s="29"/>
    </row>
    <row r="15" spans="1:3" s="27" customFormat="1" ht="25.5" customHeight="1" x14ac:dyDescent="0.25">
      <c r="A15" s="27">
        <v>10</v>
      </c>
      <c r="B15" s="27" t="s">
        <v>53</v>
      </c>
      <c r="C15" s="27" t="s">
        <v>54</v>
      </c>
    </row>
    <row r="16" spans="1:3" s="27" customFormat="1" ht="25.5" customHeight="1" x14ac:dyDescent="0.25">
      <c r="A16" s="27">
        <v>11</v>
      </c>
      <c r="B16" s="27" t="s">
        <v>55</v>
      </c>
      <c r="C16" s="27" t="s">
        <v>56</v>
      </c>
    </row>
    <row r="17" spans="1:3" s="27" customFormat="1" ht="25.5" customHeight="1" x14ac:dyDescent="0.25">
      <c r="A17" s="27">
        <v>12</v>
      </c>
      <c r="B17" s="27" t="s">
        <v>57</v>
      </c>
      <c r="C17" s="27" t="s">
        <v>58</v>
      </c>
    </row>
    <row r="18" spans="1:3" s="27" customFormat="1" ht="25.5" customHeight="1" x14ac:dyDescent="0.25">
      <c r="A18" s="27">
        <v>13</v>
      </c>
      <c r="B18" s="27" t="s">
        <v>59</v>
      </c>
      <c r="C18" s="27" t="s">
        <v>60</v>
      </c>
    </row>
    <row r="19" spans="1:3" s="27" customFormat="1" ht="25.5" customHeight="1" x14ac:dyDescent="0.25">
      <c r="A19" s="27">
        <v>14</v>
      </c>
      <c r="B19" s="27" t="s">
        <v>61</v>
      </c>
      <c r="C19" s="27" t="s">
        <v>61</v>
      </c>
    </row>
    <row r="20" spans="1:3" s="27" customFormat="1" ht="25.5" customHeight="1" x14ac:dyDescent="0.25">
      <c r="A20" s="27">
        <v>15</v>
      </c>
      <c r="B20" s="27" t="s">
        <v>62</v>
      </c>
      <c r="C20" s="27" t="s">
        <v>61</v>
      </c>
    </row>
    <row r="21" spans="1:3" s="27" customFormat="1" ht="25.5" customHeight="1" x14ac:dyDescent="0.25">
      <c r="A21" s="27">
        <v>16</v>
      </c>
      <c r="B21" s="27" t="s">
        <v>63</v>
      </c>
      <c r="C21" s="27" t="s">
        <v>61</v>
      </c>
    </row>
    <row r="22" spans="1:3" s="27" customFormat="1" ht="25.5" customHeight="1" x14ac:dyDescent="0.25">
      <c r="A22" s="27">
        <v>17</v>
      </c>
      <c r="B22" s="27" t="s">
        <v>61</v>
      </c>
      <c r="C22" s="27" t="s">
        <v>61</v>
      </c>
    </row>
    <row r="23" spans="1:3" s="27" customFormat="1" ht="25.5" customHeight="1" x14ac:dyDescent="0.25">
      <c r="A23" s="27">
        <v>18</v>
      </c>
      <c r="B23" s="27" t="s">
        <v>64</v>
      </c>
      <c r="C23" s="27" t="s">
        <v>61</v>
      </c>
    </row>
    <row r="24" spans="1:3" s="27" customFormat="1" ht="25.5" customHeight="1" x14ac:dyDescent="0.25">
      <c r="A24" s="27">
        <v>19</v>
      </c>
      <c r="B24" s="27" t="s">
        <v>65</v>
      </c>
      <c r="C24" s="27" t="s">
        <v>61</v>
      </c>
    </row>
    <row r="25" spans="1:3" s="27" customFormat="1" ht="25.5" customHeight="1" x14ac:dyDescent="0.25"/>
    <row r="26" spans="1:3" s="30" customFormat="1" ht="54" x14ac:dyDescent="0.4">
      <c r="A26" s="25" t="s">
        <v>66</v>
      </c>
      <c r="B26" s="29"/>
    </row>
    <row r="27" spans="1:3" s="27" customFormat="1" ht="25.5" customHeight="1" x14ac:dyDescent="0.25">
      <c r="A27" s="27">
        <v>20</v>
      </c>
      <c r="B27" s="27" t="s">
        <v>67</v>
      </c>
      <c r="C27" s="27" t="s">
        <v>68</v>
      </c>
    </row>
    <row r="28" spans="1:3" s="27" customFormat="1" ht="25.5" customHeight="1" x14ac:dyDescent="0.25">
      <c r="A28" s="27">
        <v>21</v>
      </c>
      <c r="B28" s="27" t="s">
        <v>69</v>
      </c>
      <c r="C28" s="27" t="s">
        <v>70</v>
      </c>
    </row>
    <row r="29" spans="1:3" s="27" customFormat="1" ht="25.5" customHeight="1" x14ac:dyDescent="0.25">
      <c r="A29" s="27">
        <v>22</v>
      </c>
      <c r="B29" s="27" t="s">
        <v>71</v>
      </c>
      <c r="C29" s="27" t="s">
        <v>72</v>
      </c>
    </row>
    <row r="30" spans="1:3" s="27" customFormat="1" ht="25.5" customHeight="1" x14ac:dyDescent="0.25">
      <c r="A30" s="27">
        <v>23</v>
      </c>
      <c r="B30" s="27" t="s">
        <v>73</v>
      </c>
      <c r="C30" s="27" t="s">
        <v>74</v>
      </c>
    </row>
    <row r="31" spans="1:3" s="27" customFormat="1" ht="25.5" customHeight="1" x14ac:dyDescent="0.25">
      <c r="A31" s="27">
        <v>24</v>
      </c>
      <c r="B31" s="27" t="s">
        <v>75</v>
      </c>
      <c r="C31" s="27" t="s">
        <v>76</v>
      </c>
    </row>
    <row r="32" spans="1:3" s="27" customFormat="1" ht="25.5" customHeight="1" x14ac:dyDescent="0.25">
      <c r="A32" s="27">
        <v>25</v>
      </c>
      <c r="B32" s="27" t="s">
        <v>77</v>
      </c>
      <c r="C32" s="27" t="s">
        <v>78</v>
      </c>
    </row>
    <row r="33" spans="1:3" s="27" customFormat="1" ht="25.5" customHeight="1" x14ac:dyDescent="0.25">
      <c r="A33" s="27">
        <v>26</v>
      </c>
      <c r="B33" s="27" t="s">
        <v>79</v>
      </c>
      <c r="C33" s="27" t="s">
        <v>80</v>
      </c>
    </row>
    <row r="34" spans="1:3" s="27" customFormat="1" ht="25.5" customHeight="1" x14ac:dyDescent="0.25">
      <c r="A34" s="27">
        <v>27</v>
      </c>
      <c r="B34" s="27" t="s">
        <v>81</v>
      </c>
      <c r="C34" s="27" t="s">
        <v>82</v>
      </c>
    </row>
    <row r="35" spans="1:3" s="27" customFormat="1" ht="25.5" customHeight="1" x14ac:dyDescent="0.25">
      <c r="A35" s="27">
        <v>28</v>
      </c>
      <c r="B35" s="27" t="s">
        <v>83</v>
      </c>
      <c r="C35" s="27" t="s">
        <v>61</v>
      </c>
    </row>
    <row r="36" spans="1:3" s="27" customFormat="1" ht="25.5" customHeight="1" x14ac:dyDescent="0.25">
      <c r="A36" s="27">
        <v>29</v>
      </c>
      <c r="B36" s="27" t="s">
        <v>84</v>
      </c>
      <c r="C36" s="27" t="s">
        <v>85</v>
      </c>
    </row>
    <row r="37" spans="1:3" s="27" customFormat="1" ht="25.5" customHeight="1" x14ac:dyDescent="0.25"/>
    <row r="38" spans="1:3" s="26" customFormat="1" ht="25.5" customHeight="1" x14ac:dyDescent="0.4">
      <c r="A38" s="25" t="s">
        <v>86</v>
      </c>
      <c r="B38" s="25"/>
    </row>
    <row r="39" spans="1:3" s="27" customFormat="1" ht="25.5" customHeight="1" x14ac:dyDescent="0.25">
      <c r="A39" s="27">
        <v>30</v>
      </c>
      <c r="B39" s="27" t="s">
        <v>87</v>
      </c>
      <c r="C39" s="27" t="s">
        <v>88</v>
      </c>
    </row>
    <row r="40" spans="1:3" s="27" customFormat="1" ht="25.5" customHeight="1" x14ac:dyDescent="0.25">
      <c r="A40" s="27">
        <v>31</v>
      </c>
      <c r="B40" s="27" t="s">
        <v>89</v>
      </c>
      <c r="C40" s="27" t="s">
        <v>90</v>
      </c>
    </row>
    <row r="41" spans="1:3" s="27" customFormat="1" ht="25.5" customHeight="1" x14ac:dyDescent="0.25">
      <c r="A41" s="27">
        <v>32</v>
      </c>
      <c r="B41" s="27" t="s">
        <v>91</v>
      </c>
      <c r="C41" s="27" t="s">
        <v>92</v>
      </c>
    </row>
    <row r="42" spans="1:3" s="27" customFormat="1" ht="25.5" customHeight="1" x14ac:dyDescent="0.25">
      <c r="A42" s="27">
        <v>33</v>
      </c>
      <c r="B42" s="27" t="s">
        <v>93</v>
      </c>
      <c r="C42" s="27" t="s">
        <v>94</v>
      </c>
    </row>
    <row r="43" spans="1:3" s="27" customFormat="1" ht="25.5" customHeight="1" x14ac:dyDescent="0.25">
      <c r="A43" s="27">
        <v>34</v>
      </c>
      <c r="B43" s="27" t="s">
        <v>95</v>
      </c>
    </row>
    <row r="44" spans="1:3" s="27" customFormat="1" ht="25.5" customHeight="1" x14ac:dyDescent="0.25">
      <c r="A44" s="27">
        <v>35</v>
      </c>
      <c r="B44" s="27" t="s">
        <v>96</v>
      </c>
    </row>
    <row r="45" spans="1:3" s="27" customFormat="1" ht="25.5" customHeight="1" x14ac:dyDescent="0.25">
      <c r="A45" s="27">
        <v>36</v>
      </c>
      <c r="B45" s="27" t="s">
        <v>97</v>
      </c>
    </row>
    <row r="46" spans="1:3" s="27" customFormat="1" ht="25.5" customHeight="1" x14ac:dyDescent="0.25">
      <c r="A46" s="27">
        <v>37</v>
      </c>
      <c r="B46" s="27" t="s">
        <v>98</v>
      </c>
    </row>
    <row r="47" spans="1:3" s="27" customFormat="1" ht="25.5" customHeight="1" x14ac:dyDescent="0.25">
      <c r="A47" s="27">
        <v>38</v>
      </c>
      <c r="B47" s="27" t="s">
        <v>99</v>
      </c>
    </row>
    <row r="48" spans="1:3" s="27" customFormat="1" ht="25.5" customHeight="1" x14ac:dyDescent="0.25">
      <c r="A48" s="27">
        <v>39</v>
      </c>
      <c r="B48" s="27" t="s">
        <v>100</v>
      </c>
      <c r="C48" s="27" t="s">
        <v>101</v>
      </c>
    </row>
    <row r="49" spans="1:3" s="27" customFormat="1" ht="25.5" customHeight="1" x14ac:dyDescent="0.25"/>
    <row r="50" spans="1:3" s="26" customFormat="1" ht="90" x14ac:dyDescent="0.4">
      <c r="A50" s="25" t="s">
        <v>102</v>
      </c>
      <c r="B50" s="25"/>
    </row>
    <row r="51" spans="1:3" s="27" customFormat="1" ht="25.5" customHeight="1" x14ac:dyDescent="0.25">
      <c r="A51" s="27">
        <v>40</v>
      </c>
      <c r="B51" s="27" t="s">
        <v>103</v>
      </c>
      <c r="C51" s="27" t="s">
        <v>104</v>
      </c>
    </row>
    <row r="52" spans="1:3" s="27" customFormat="1" ht="25.5" customHeight="1" x14ac:dyDescent="0.25">
      <c r="A52" s="27">
        <v>41</v>
      </c>
      <c r="B52" s="27" t="s">
        <v>105</v>
      </c>
      <c r="C52" s="27" t="s">
        <v>106</v>
      </c>
    </row>
    <row r="53" spans="1:3" s="27" customFormat="1" ht="25.5" customHeight="1" x14ac:dyDescent="0.25">
      <c r="A53" s="27">
        <v>42</v>
      </c>
      <c r="B53" s="27" t="s">
        <v>107</v>
      </c>
      <c r="C53" s="27" t="s">
        <v>108</v>
      </c>
    </row>
    <row r="54" spans="1:3" s="27" customFormat="1" ht="25.5" customHeight="1" x14ac:dyDescent="0.25">
      <c r="A54" s="27">
        <v>43</v>
      </c>
      <c r="B54" s="27" t="s">
        <v>109</v>
      </c>
      <c r="C54" s="27" t="s">
        <v>110</v>
      </c>
    </row>
    <row r="55" spans="1:3" s="27" customFormat="1" ht="25.5" customHeight="1" x14ac:dyDescent="0.25">
      <c r="A55" s="27">
        <v>44</v>
      </c>
      <c r="B55" s="27" t="s">
        <v>111</v>
      </c>
    </row>
    <row r="56" spans="1:3" s="27" customFormat="1" ht="25.5" customHeight="1" x14ac:dyDescent="0.25">
      <c r="A56" s="27">
        <v>45</v>
      </c>
      <c r="B56" s="27" t="s">
        <v>112</v>
      </c>
    </row>
    <row r="57" spans="1:3" s="27" customFormat="1" ht="25.5" customHeight="1" x14ac:dyDescent="0.25">
      <c r="A57" s="27">
        <v>46</v>
      </c>
      <c r="B57" s="27" t="s">
        <v>113</v>
      </c>
    </row>
    <row r="58" spans="1:3" s="27" customFormat="1" ht="25.5" customHeight="1" x14ac:dyDescent="0.25">
      <c r="A58" s="27">
        <v>47</v>
      </c>
      <c r="B58" s="27" t="s">
        <v>114</v>
      </c>
      <c r="C58" s="27" t="s">
        <v>115</v>
      </c>
    </row>
    <row r="59" spans="1:3" s="27" customFormat="1" ht="25.5" customHeight="1" x14ac:dyDescent="0.25">
      <c r="A59" s="27">
        <v>48</v>
      </c>
      <c r="B59" s="27" t="s">
        <v>116</v>
      </c>
    </row>
    <row r="60" spans="1:3" s="27" customFormat="1" ht="25.5" customHeight="1" x14ac:dyDescent="0.25">
      <c r="A60" s="27">
        <v>49</v>
      </c>
      <c r="B60" s="27" t="s">
        <v>117</v>
      </c>
      <c r="C60" s="27" t="s">
        <v>118</v>
      </c>
    </row>
    <row r="61" spans="1:3" s="27" customFormat="1" ht="25.5" customHeight="1" x14ac:dyDescent="0.25"/>
    <row r="62" spans="1:3" s="26" customFormat="1" ht="72" x14ac:dyDescent="0.4">
      <c r="A62" s="25" t="s">
        <v>119</v>
      </c>
      <c r="B62" s="25"/>
    </row>
    <row r="63" spans="1:3" s="27" customFormat="1" ht="25.5" customHeight="1" x14ac:dyDescent="0.25">
      <c r="A63" s="27">
        <v>50</v>
      </c>
      <c r="B63" s="27" t="s">
        <v>120</v>
      </c>
      <c r="C63" s="27" t="s">
        <v>121</v>
      </c>
    </row>
    <row r="64" spans="1:3" s="27" customFormat="1" ht="25.5" customHeight="1" x14ac:dyDescent="0.25">
      <c r="A64" s="27">
        <v>51</v>
      </c>
      <c r="B64" s="27" t="s">
        <v>122</v>
      </c>
      <c r="C64" s="27" t="s">
        <v>123</v>
      </c>
    </row>
    <row r="65" spans="1:3" s="27" customFormat="1" ht="25.5" customHeight="1" x14ac:dyDescent="0.25">
      <c r="A65" s="27">
        <v>52</v>
      </c>
      <c r="B65" s="27" t="s">
        <v>124</v>
      </c>
      <c r="C65" s="27" t="s">
        <v>125</v>
      </c>
    </row>
    <row r="66" spans="1:3" s="27" customFormat="1" ht="25.5" customHeight="1" x14ac:dyDescent="0.25">
      <c r="A66" s="27">
        <v>53</v>
      </c>
      <c r="B66" s="27" t="s">
        <v>126</v>
      </c>
      <c r="C66" s="27" t="s">
        <v>127</v>
      </c>
    </row>
    <row r="67" spans="1:3" s="27" customFormat="1" ht="25.5" customHeight="1" x14ac:dyDescent="0.25">
      <c r="A67" s="27">
        <v>54</v>
      </c>
      <c r="B67" s="27" t="s">
        <v>128</v>
      </c>
      <c r="C67" s="27" t="s">
        <v>129</v>
      </c>
    </row>
    <row r="68" spans="1:3" s="27" customFormat="1" ht="25.5" customHeight="1" x14ac:dyDescent="0.25">
      <c r="A68" s="27">
        <v>55</v>
      </c>
      <c r="B68" s="27" t="s">
        <v>130</v>
      </c>
      <c r="C68" s="27" t="s">
        <v>131</v>
      </c>
    </row>
    <row r="69" spans="1:3" s="27" customFormat="1" ht="25.5" customHeight="1" x14ac:dyDescent="0.25">
      <c r="A69" s="27">
        <v>56</v>
      </c>
      <c r="B69" s="27" t="s">
        <v>132</v>
      </c>
      <c r="C69" s="27" t="s">
        <v>133</v>
      </c>
    </row>
    <row r="70" spans="1:3" s="27" customFormat="1" ht="25.5" customHeight="1" x14ac:dyDescent="0.25">
      <c r="A70" s="27">
        <v>57</v>
      </c>
      <c r="B70" s="27" t="s">
        <v>134</v>
      </c>
    </row>
    <row r="71" spans="1:3" s="27" customFormat="1" ht="25.5" customHeight="1" x14ac:dyDescent="0.25">
      <c r="A71" s="27">
        <v>58</v>
      </c>
      <c r="B71" s="27" t="s">
        <v>135</v>
      </c>
    </row>
    <row r="72" spans="1:3" s="27" customFormat="1" ht="25.5" customHeight="1" x14ac:dyDescent="0.25">
      <c r="A72" s="27">
        <v>59</v>
      </c>
      <c r="B72" s="27" t="s">
        <v>136</v>
      </c>
    </row>
    <row r="73" spans="1:3" s="27" customFormat="1" ht="25.5" customHeight="1" x14ac:dyDescent="0.25"/>
    <row r="74" spans="1:3" s="26" customFormat="1" ht="36" x14ac:dyDescent="0.4">
      <c r="A74" s="25" t="s">
        <v>137</v>
      </c>
      <c r="B74" s="25"/>
    </row>
    <row r="75" spans="1:3" s="27" customFormat="1" ht="24.75" customHeight="1" x14ac:dyDescent="0.25">
      <c r="A75" s="27">
        <v>60</v>
      </c>
      <c r="B75" s="27" t="s">
        <v>138</v>
      </c>
      <c r="C75" s="27" t="s">
        <v>139</v>
      </c>
    </row>
    <row r="76" spans="1:3" s="27" customFormat="1" ht="37.5" customHeight="1" x14ac:dyDescent="0.25">
      <c r="A76" s="27">
        <v>61</v>
      </c>
      <c r="B76" s="27" t="s">
        <v>140</v>
      </c>
      <c r="C76" s="27" t="s">
        <v>141</v>
      </c>
    </row>
    <row r="77" spans="1:3" s="27" customFormat="1" ht="25.5" customHeight="1" x14ac:dyDescent="0.25">
      <c r="A77" s="27">
        <v>62</v>
      </c>
      <c r="B77" s="27" t="s">
        <v>142</v>
      </c>
      <c r="C77" s="27" t="s">
        <v>143</v>
      </c>
    </row>
    <row r="78" spans="1:3" s="27" customFormat="1" ht="25.5" customHeight="1" x14ac:dyDescent="0.25">
      <c r="A78" s="27">
        <v>63</v>
      </c>
      <c r="B78" s="27" t="s">
        <v>144</v>
      </c>
      <c r="C78" s="27" t="s">
        <v>145</v>
      </c>
    </row>
    <row r="79" spans="1:3" s="27" customFormat="1" ht="25.5" customHeight="1" x14ac:dyDescent="0.25">
      <c r="A79" s="27">
        <v>64</v>
      </c>
      <c r="B79" s="27" t="s">
        <v>146</v>
      </c>
      <c r="C79" s="27" t="s">
        <v>147</v>
      </c>
    </row>
    <row r="80" spans="1:3" s="27" customFormat="1" ht="25.5" customHeight="1" x14ac:dyDescent="0.25">
      <c r="A80" s="27">
        <v>65</v>
      </c>
      <c r="B80" s="27" t="s">
        <v>148</v>
      </c>
    </row>
    <row r="81" spans="1:3" s="27" customFormat="1" ht="25.5" customHeight="1" x14ac:dyDescent="0.25">
      <c r="A81" s="27">
        <v>66</v>
      </c>
      <c r="B81" s="27" t="s">
        <v>149</v>
      </c>
      <c r="C81" s="27" t="s">
        <v>150</v>
      </c>
    </row>
    <row r="82" spans="1:3" s="27" customFormat="1" ht="25.5" customHeight="1" x14ac:dyDescent="0.25">
      <c r="A82" s="27">
        <v>67</v>
      </c>
      <c r="B82" s="27" t="s">
        <v>151</v>
      </c>
      <c r="C82" s="27" t="s">
        <v>152</v>
      </c>
    </row>
    <row r="83" spans="1:3" s="27" customFormat="1" ht="25.5" customHeight="1" x14ac:dyDescent="0.25">
      <c r="A83" s="27">
        <v>68</v>
      </c>
      <c r="B83" s="27" t="s">
        <v>153</v>
      </c>
      <c r="C83" s="27" t="s">
        <v>154</v>
      </c>
    </row>
    <row r="84" spans="1:3" s="27" customFormat="1" ht="25.5" customHeight="1" x14ac:dyDescent="0.25">
      <c r="A84" s="27">
        <v>69</v>
      </c>
      <c r="B84" s="27" t="s">
        <v>155</v>
      </c>
      <c r="C84" s="27" t="s">
        <v>156</v>
      </c>
    </row>
    <row r="85" spans="1:3" s="27" customFormat="1" ht="25.5" customHeight="1" x14ac:dyDescent="0.25"/>
    <row r="86" spans="1:3" s="26" customFormat="1" ht="25.5" customHeight="1" x14ac:dyDescent="0.4">
      <c r="A86" s="25" t="s">
        <v>157</v>
      </c>
      <c r="B86" s="25"/>
    </row>
    <row r="87" spans="1:3" s="27" customFormat="1" ht="25.5" customHeight="1" x14ac:dyDescent="0.25">
      <c r="A87" s="27">
        <v>70</v>
      </c>
      <c r="B87" s="27" t="s">
        <v>158</v>
      </c>
      <c r="C87" s="27" t="s">
        <v>159</v>
      </c>
    </row>
    <row r="88" spans="1:3" s="27" customFormat="1" ht="25.5" customHeight="1" x14ac:dyDescent="0.25">
      <c r="A88" s="27">
        <v>71</v>
      </c>
      <c r="B88" s="27" t="s">
        <v>160</v>
      </c>
      <c r="C88" s="27" t="s">
        <v>161</v>
      </c>
    </row>
    <row r="89" spans="1:3" s="27" customFormat="1" ht="25.5" customHeight="1" x14ac:dyDescent="0.25">
      <c r="A89" s="27">
        <v>72</v>
      </c>
      <c r="B89" s="27" t="s">
        <v>162</v>
      </c>
      <c r="C89" s="27" t="s">
        <v>163</v>
      </c>
    </row>
    <row r="90" spans="1:3" s="27" customFormat="1" ht="25.5" customHeight="1" x14ac:dyDescent="0.25">
      <c r="A90" s="27">
        <v>73</v>
      </c>
      <c r="B90" s="27" t="s">
        <v>164</v>
      </c>
      <c r="C90" s="27" t="s">
        <v>165</v>
      </c>
    </row>
    <row r="91" spans="1:3" s="27" customFormat="1" ht="25.5" customHeight="1" x14ac:dyDescent="0.25">
      <c r="A91" s="27">
        <v>74</v>
      </c>
      <c r="B91" s="27" t="s">
        <v>166</v>
      </c>
      <c r="C91" s="27" t="s">
        <v>167</v>
      </c>
    </row>
    <row r="92" spans="1:3" s="27" customFormat="1" ht="25.5" customHeight="1" x14ac:dyDescent="0.25">
      <c r="A92" s="27">
        <v>75</v>
      </c>
      <c r="B92" s="27" t="s">
        <v>168</v>
      </c>
      <c r="C92" s="27" t="s">
        <v>169</v>
      </c>
    </row>
    <row r="93" spans="1:3" s="27" customFormat="1" ht="25.5" customHeight="1" x14ac:dyDescent="0.25">
      <c r="A93" s="27">
        <v>76</v>
      </c>
      <c r="B93" s="27" t="s">
        <v>170</v>
      </c>
      <c r="C93" s="27" t="s">
        <v>171</v>
      </c>
    </row>
    <row r="94" spans="1:3" s="27" customFormat="1" ht="25.5" customHeight="1" x14ac:dyDescent="0.25">
      <c r="A94" s="27">
        <v>77</v>
      </c>
      <c r="B94" s="27" t="s">
        <v>172</v>
      </c>
      <c r="C94" s="27" t="s">
        <v>173</v>
      </c>
    </row>
    <row r="95" spans="1:3" s="27" customFormat="1" ht="25.5" customHeight="1" x14ac:dyDescent="0.25">
      <c r="A95" s="27">
        <v>78</v>
      </c>
      <c r="B95" s="27" t="s">
        <v>174</v>
      </c>
      <c r="C95" s="27" t="s">
        <v>175</v>
      </c>
    </row>
    <row r="96" spans="1:3" s="27" customFormat="1" ht="25.5" customHeight="1" x14ac:dyDescent="0.25">
      <c r="A96" s="27">
        <v>79</v>
      </c>
      <c r="B96" s="27" t="s">
        <v>176</v>
      </c>
      <c r="C96" s="27" t="s">
        <v>177</v>
      </c>
    </row>
    <row r="97" spans="1:3" s="27" customFormat="1" ht="25.5" customHeight="1" x14ac:dyDescent="0.25"/>
    <row r="98" spans="1:3" s="26" customFormat="1" ht="25.5" customHeight="1" x14ac:dyDescent="0.4">
      <c r="A98" s="25" t="s">
        <v>178</v>
      </c>
      <c r="B98" s="25"/>
    </row>
    <row r="99" spans="1:3" s="27" customFormat="1" ht="25.5" customHeight="1" x14ac:dyDescent="0.25">
      <c r="A99" s="27">
        <v>80</v>
      </c>
      <c r="B99" s="27" t="s">
        <v>179</v>
      </c>
      <c r="C99" s="27" t="s">
        <v>180</v>
      </c>
    </row>
    <row r="100" spans="1:3" s="27" customFormat="1" ht="25.5" customHeight="1" x14ac:dyDescent="0.25">
      <c r="A100" s="27">
        <v>81</v>
      </c>
      <c r="B100" s="27" t="s">
        <v>181</v>
      </c>
      <c r="C100" s="27" t="s">
        <v>182</v>
      </c>
    </row>
    <row r="101" spans="1:3" s="27" customFormat="1" ht="25.5" customHeight="1" x14ac:dyDescent="0.25">
      <c r="A101" s="27">
        <v>82</v>
      </c>
      <c r="B101" s="27" t="s">
        <v>183</v>
      </c>
      <c r="C101" s="27" t="s">
        <v>184</v>
      </c>
    </row>
    <row r="102" spans="1:3" s="27" customFormat="1" ht="25.5" customHeight="1" x14ac:dyDescent="0.25">
      <c r="A102" s="27">
        <v>83</v>
      </c>
      <c r="B102" s="27" t="s">
        <v>185</v>
      </c>
      <c r="C102" s="27" t="s">
        <v>186</v>
      </c>
    </row>
    <row r="103" spans="1:3" s="27" customFormat="1" ht="25.5" customHeight="1" x14ac:dyDescent="0.25">
      <c r="A103" s="27">
        <v>84</v>
      </c>
      <c r="B103" s="27" t="s">
        <v>187</v>
      </c>
    </row>
    <row r="104" spans="1:3" s="27" customFormat="1" ht="25.5" customHeight="1" x14ac:dyDescent="0.25">
      <c r="A104" s="27">
        <v>85</v>
      </c>
    </row>
    <row r="105" spans="1:3" s="27" customFormat="1" ht="25.5" customHeight="1" x14ac:dyDescent="0.25">
      <c r="A105" s="27">
        <v>86</v>
      </c>
      <c r="B105" s="27" t="s">
        <v>188</v>
      </c>
      <c r="C105" s="27" t="s">
        <v>189</v>
      </c>
    </row>
    <row r="106" spans="1:3" s="27" customFormat="1" ht="25.5" customHeight="1" x14ac:dyDescent="0.25">
      <c r="A106" s="27">
        <v>87</v>
      </c>
      <c r="B106" s="27" t="s">
        <v>190</v>
      </c>
      <c r="C106" s="27" t="s">
        <v>191</v>
      </c>
    </row>
    <row r="107" spans="1:3" s="27" customFormat="1" ht="25.5" customHeight="1" x14ac:dyDescent="0.25">
      <c r="A107" s="27">
        <v>88</v>
      </c>
      <c r="B107" s="27" t="s">
        <v>192</v>
      </c>
      <c r="C107" s="27" t="s">
        <v>193</v>
      </c>
    </row>
    <row r="108" spans="1:3" s="27" customFormat="1" ht="25.5" customHeight="1" x14ac:dyDescent="0.25">
      <c r="A108" s="27">
        <v>89</v>
      </c>
      <c r="B108" s="27" t="s">
        <v>194</v>
      </c>
    </row>
    <row r="109" spans="1:3" s="27" customFormat="1" ht="25.5" customHeight="1" x14ac:dyDescent="0.25"/>
    <row r="110" spans="1:3" s="26" customFormat="1" ht="25.5" customHeight="1" x14ac:dyDescent="0.4">
      <c r="A110" s="25" t="s">
        <v>195</v>
      </c>
      <c r="B110" s="25"/>
    </row>
    <row r="111" spans="1:3" s="27" customFormat="1" ht="25.5" customHeight="1" x14ac:dyDescent="0.25">
      <c r="A111" s="27">
        <v>90</v>
      </c>
      <c r="B111" s="27" t="s">
        <v>196</v>
      </c>
      <c r="C111" s="27" t="s">
        <v>197</v>
      </c>
    </row>
    <row r="112" spans="1:3" s="27" customFormat="1" ht="25.5" customHeight="1" x14ac:dyDescent="0.25">
      <c r="A112" s="27">
        <v>91</v>
      </c>
      <c r="B112" s="27" t="s">
        <v>198</v>
      </c>
      <c r="C112" s="27" t="s">
        <v>199</v>
      </c>
    </row>
    <row r="113" spans="1:3" s="27" customFormat="1" ht="25.5" customHeight="1" x14ac:dyDescent="0.25">
      <c r="A113" s="27">
        <v>92</v>
      </c>
      <c r="B113" s="27" t="s">
        <v>200</v>
      </c>
      <c r="C113" s="27" t="s">
        <v>201</v>
      </c>
    </row>
    <row r="114" spans="1:3" s="27" customFormat="1" ht="25.5" customHeight="1" x14ac:dyDescent="0.25">
      <c r="A114" s="27">
        <v>93</v>
      </c>
      <c r="B114" s="27" t="s">
        <v>202</v>
      </c>
      <c r="C114" s="27" t="s">
        <v>203</v>
      </c>
    </row>
    <row r="115" spans="1:3" s="27" customFormat="1" ht="25.5" customHeight="1" x14ac:dyDescent="0.25">
      <c r="A115" s="27">
        <v>94</v>
      </c>
      <c r="B115" s="27" t="s">
        <v>204</v>
      </c>
      <c r="C115" s="27" t="s">
        <v>205</v>
      </c>
    </row>
    <row r="116" spans="1:3" s="27" customFormat="1" ht="25.5" customHeight="1" x14ac:dyDescent="0.25">
      <c r="A116" s="27">
        <v>95</v>
      </c>
      <c r="B116" s="27" t="s">
        <v>206</v>
      </c>
      <c r="C116" s="27" t="s">
        <v>207</v>
      </c>
    </row>
    <row r="117" spans="1:3" s="27" customFormat="1" ht="25.5" customHeight="1" x14ac:dyDescent="0.25">
      <c r="A117" s="27">
        <v>96</v>
      </c>
      <c r="B117" s="27" t="s">
        <v>208</v>
      </c>
      <c r="C117" s="27" t="s">
        <v>209</v>
      </c>
    </row>
    <row r="118" spans="1:3" s="27" customFormat="1" ht="25.5" customHeight="1" x14ac:dyDescent="0.25">
      <c r="A118" s="27">
        <v>97</v>
      </c>
      <c r="B118" s="27" t="s">
        <v>210</v>
      </c>
      <c r="C118" s="27" t="s">
        <v>211</v>
      </c>
    </row>
    <row r="119" spans="1:3" s="27" customFormat="1" ht="25.5" customHeight="1" x14ac:dyDescent="0.25">
      <c r="A119" s="27">
        <v>98</v>
      </c>
      <c r="B119" s="27" t="s">
        <v>212</v>
      </c>
      <c r="C119" s="27" t="s">
        <v>213</v>
      </c>
    </row>
    <row r="120" spans="1:3" s="27" customFormat="1" ht="25.5" customHeight="1" x14ac:dyDescent="0.25">
      <c r="A120" s="27">
        <v>99</v>
      </c>
      <c r="B120" s="27" t="s">
        <v>214</v>
      </c>
      <c r="C120" s="27" t="s">
        <v>215</v>
      </c>
    </row>
    <row r="121" spans="1:3" s="27" customFormat="1" ht="25.5" customHeight="1" x14ac:dyDescent="0.25">
      <c r="A121" s="27">
        <v>100</v>
      </c>
      <c r="B121" s="27" t="s">
        <v>216</v>
      </c>
      <c r="C121" s="27" t="s">
        <v>217</v>
      </c>
    </row>
    <row r="122" spans="1:3" s="27" customFormat="1" ht="25.5" customHeight="1" x14ac:dyDescent="0.25"/>
    <row r="123" spans="1:3" s="27" customFormat="1" ht="25.5" customHeight="1" x14ac:dyDescent="0.25"/>
    <row r="124" spans="1:3" s="27" customFormat="1" ht="25.5" customHeight="1" x14ac:dyDescent="0.25"/>
    <row r="125" spans="1:3" s="27" customFormat="1" ht="25.5" customHeight="1" x14ac:dyDescent="0.25"/>
    <row r="126" spans="1:3" s="27" customFormat="1" ht="25.5" customHeight="1" x14ac:dyDescent="0.25"/>
    <row r="127" spans="1:3" s="27" customFormat="1" ht="25.5" customHeight="1" x14ac:dyDescent="0.25"/>
    <row r="128" spans="1:3" s="27" customFormat="1" ht="25.5" customHeight="1" x14ac:dyDescent="0.25"/>
    <row r="129" s="27" customFormat="1" ht="25.5" customHeight="1" x14ac:dyDescent="0.25"/>
    <row r="130" s="27" customFormat="1" ht="25.5" customHeight="1" x14ac:dyDescent="0.25"/>
    <row r="131" s="27" customFormat="1" ht="25.5" customHeight="1" x14ac:dyDescent="0.25"/>
    <row r="132" s="27" customFormat="1" ht="25.5" customHeight="1" x14ac:dyDescent="0.25"/>
    <row r="133" s="27" customFormat="1" ht="25.5" customHeight="1" x14ac:dyDescent="0.25"/>
    <row r="134" s="27" customFormat="1" ht="25.5" customHeight="1" x14ac:dyDescent="0.25"/>
    <row r="135" s="27" customFormat="1" ht="25.5" customHeight="1" x14ac:dyDescent="0.25"/>
    <row r="136" s="27" customFormat="1" ht="25.5" customHeight="1" x14ac:dyDescent="0.25"/>
    <row r="137" s="27" customFormat="1" ht="25.5" customHeight="1" x14ac:dyDescent="0.25"/>
    <row r="138" s="27" customFormat="1" ht="25.5" customHeight="1" x14ac:dyDescent="0.25"/>
    <row r="139" s="27" customFormat="1" ht="25.5" customHeight="1" x14ac:dyDescent="0.25"/>
    <row r="140" s="27" customFormat="1" ht="25.5" customHeight="1" x14ac:dyDescent="0.25"/>
    <row r="141" s="27" customFormat="1" ht="25.5" customHeight="1" x14ac:dyDescent="0.25"/>
    <row r="142" s="27" customFormat="1" ht="25.5" customHeight="1" x14ac:dyDescent="0.25"/>
    <row r="143" s="27" customFormat="1" ht="25.5" customHeight="1" x14ac:dyDescent="0.25"/>
    <row r="144" s="27" customFormat="1" ht="25.5" customHeight="1" x14ac:dyDescent="0.25"/>
    <row r="145" s="27" customFormat="1" ht="25.5" customHeight="1" x14ac:dyDescent="0.25"/>
    <row r="146" s="27" customFormat="1" ht="25.5" customHeight="1" x14ac:dyDescent="0.25"/>
    <row r="147" s="27" customFormat="1" ht="25.5" customHeight="1" x14ac:dyDescent="0.25"/>
    <row r="148" s="27" customFormat="1" ht="25.5" customHeight="1" x14ac:dyDescent="0.25"/>
    <row r="149" s="27" customFormat="1" ht="25.5" customHeight="1" x14ac:dyDescent="0.25"/>
    <row r="150" s="27" customFormat="1" ht="25.5" customHeight="1" x14ac:dyDescent="0.25"/>
    <row r="151" s="27" customFormat="1" ht="25.5" customHeight="1" x14ac:dyDescent="0.25"/>
    <row r="152" s="27" customFormat="1" ht="25.5" customHeight="1" x14ac:dyDescent="0.25"/>
    <row r="153" s="27" customFormat="1" ht="25.5" customHeight="1" x14ac:dyDescent="0.25"/>
    <row r="154" s="27" customFormat="1" ht="25.5" customHeight="1" x14ac:dyDescent="0.25"/>
    <row r="155" s="27" customFormat="1" ht="25.5" customHeight="1" x14ac:dyDescent="0.25"/>
    <row r="156" s="27" customFormat="1" ht="25.5" customHeight="1" x14ac:dyDescent="0.25"/>
    <row r="157" s="27" customFormat="1" ht="25.5" customHeight="1" x14ac:dyDescent="0.25"/>
    <row r="158" s="27" customFormat="1" ht="25.5" customHeight="1" x14ac:dyDescent="0.25"/>
    <row r="159" s="27" customFormat="1" ht="25.5" customHeight="1" x14ac:dyDescent="0.25"/>
    <row r="160" s="27" customFormat="1" ht="25.5" customHeight="1" x14ac:dyDescent="0.25"/>
    <row r="161" s="27" customFormat="1" ht="25.5" customHeight="1" x14ac:dyDescent="0.25"/>
    <row r="162" s="27" customFormat="1" ht="25.5" customHeight="1" x14ac:dyDescent="0.25"/>
    <row r="163" s="27" customFormat="1" ht="25.5" customHeight="1" x14ac:dyDescent="0.25"/>
    <row r="164" s="27" customFormat="1" ht="25.5" customHeight="1" x14ac:dyDescent="0.25"/>
    <row r="165" s="27" customFormat="1" ht="25.5" customHeight="1" x14ac:dyDescent="0.25"/>
    <row r="166" s="27" customFormat="1" ht="25.5" customHeight="1" x14ac:dyDescent="0.25"/>
    <row r="167" s="27" customFormat="1" ht="25.5" customHeight="1" x14ac:dyDescent="0.25"/>
    <row r="168" s="27" customFormat="1" ht="25.5" customHeight="1" x14ac:dyDescent="0.25"/>
    <row r="169" s="27" customFormat="1" ht="25.5" customHeight="1" x14ac:dyDescent="0.25"/>
    <row r="170" s="27" customFormat="1" ht="25.5" customHeight="1" x14ac:dyDescent="0.25"/>
    <row r="171" s="27" customFormat="1" ht="25.5" customHeight="1" x14ac:dyDescent="0.25"/>
    <row r="172" s="27" customFormat="1" ht="25.5" customHeight="1" x14ac:dyDescent="0.25"/>
    <row r="173" s="27" customFormat="1" ht="25.5" customHeight="1" x14ac:dyDescent="0.25"/>
    <row r="174" s="27" customFormat="1" ht="25.5" customHeight="1" x14ac:dyDescent="0.25"/>
    <row r="175" s="27" customFormat="1" ht="25.5" customHeight="1" x14ac:dyDescent="0.25"/>
    <row r="176" s="27" customFormat="1" ht="25.5" customHeight="1" x14ac:dyDescent="0.25"/>
    <row r="177" s="27" customFormat="1" ht="25.5" customHeight="1" x14ac:dyDescent="0.25"/>
    <row r="178" s="27" customFormat="1" ht="25.5" customHeight="1" x14ac:dyDescent="0.25"/>
    <row r="179" s="27" customFormat="1" ht="25.5" customHeight="1" x14ac:dyDescent="0.25"/>
    <row r="180" s="27" customFormat="1" ht="25.5" customHeight="1" x14ac:dyDescent="0.25"/>
    <row r="181" s="27" customFormat="1" ht="25.5" customHeight="1" x14ac:dyDescent="0.25"/>
    <row r="182" s="27" customFormat="1" ht="25.5" customHeight="1" x14ac:dyDescent="0.25"/>
    <row r="183" s="27" customFormat="1" ht="25.5" customHeight="1" x14ac:dyDescent="0.25"/>
    <row r="184" s="27" customFormat="1" ht="25.5" customHeight="1" x14ac:dyDescent="0.25"/>
    <row r="185" s="27" customFormat="1" ht="25.5" customHeight="1" x14ac:dyDescent="0.25"/>
    <row r="186" s="27" customFormat="1" ht="25.5" customHeight="1" x14ac:dyDescent="0.25"/>
    <row r="187" s="27" customFormat="1" ht="25.5" customHeight="1" x14ac:dyDescent="0.25"/>
    <row r="188" s="27" customFormat="1" ht="25.5" customHeight="1" x14ac:dyDescent="0.25"/>
    <row r="189" s="27" customFormat="1" ht="25.5" customHeight="1" x14ac:dyDescent="0.25"/>
    <row r="190" s="27" customFormat="1" ht="25.5" customHeight="1" x14ac:dyDescent="0.25"/>
    <row r="191" s="27" customFormat="1" ht="25.5" customHeight="1" x14ac:dyDescent="0.25"/>
    <row r="192" s="27" customFormat="1" ht="25.5" customHeight="1" x14ac:dyDescent="0.25"/>
    <row r="193" s="27" customFormat="1" ht="25.5" customHeight="1" x14ac:dyDescent="0.25"/>
    <row r="194" s="27" customFormat="1" ht="25.5" customHeight="1" x14ac:dyDescent="0.25"/>
    <row r="195" s="27" customFormat="1" ht="25.5" customHeight="1" x14ac:dyDescent="0.25"/>
    <row r="196" s="27" customFormat="1" ht="25.5" customHeight="1" x14ac:dyDescent="0.25"/>
    <row r="197" s="27" customFormat="1" ht="25.5" customHeight="1" x14ac:dyDescent="0.25"/>
    <row r="198" s="27" customFormat="1" ht="25.5" customHeight="1" x14ac:dyDescent="0.25"/>
    <row r="199" s="27" customFormat="1" ht="25.5" customHeight="1" x14ac:dyDescent="0.25"/>
    <row r="200" s="27" customFormat="1" ht="25.5" customHeight="1" x14ac:dyDescent="0.25"/>
    <row r="201" s="27" customFormat="1" ht="25.5" customHeight="1" x14ac:dyDescent="0.25"/>
    <row r="202" s="27" customFormat="1" ht="25.5" customHeight="1" x14ac:dyDescent="0.25"/>
    <row r="203" s="27" customFormat="1" ht="25.5" customHeight="1" x14ac:dyDescent="0.25"/>
    <row r="204" s="27" customFormat="1" ht="25.5" customHeight="1" x14ac:dyDescent="0.25"/>
    <row r="205" s="27" customFormat="1" ht="25.5" customHeight="1" x14ac:dyDescent="0.25"/>
    <row r="206" s="27" customFormat="1" ht="25.5" customHeight="1" x14ac:dyDescent="0.25"/>
    <row r="207" s="27" customFormat="1" ht="25.5" customHeight="1" x14ac:dyDescent="0.25"/>
    <row r="208" s="27" customFormat="1" ht="25.5" customHeight="1" x14ac:dyDescent="0.25"/>
    <row r="209" s="27" customFormat="1" ht="25.5" customHeight="1" x14ac:dyDescent="0.25"/>
    <row r="210" s="27" customFormat="1" ht="25.5" customHeight="1" x14ac:dyDescent="0.25"/>
    <row r="211" s="27" customFormat="1" ht="25.5" customHeight="1" x14ac:dyDescent="0.25"/>
    <row r="212" s="27" customFormat="1" ht="25.5" customHeight="1" x14ac:dyDescent="0.25"/>
    <row r="213" s="27" customFormat="1" ht="25.5" customHeight="1" x14ac:dyDescent="0.25"/>
    <row r="214" s="27" customFormat="1" ht="25.5" customHeight="1" x14ac:dyDescent="0.25"/>
    <row r="215" s="27" customFormat="1" ht="25.5" customHeight="1" x14ac:dyDescent="0.25"/>
    <row r="216" s="27" customFormat="1" ht="25.5" customHeight="1" x14ac:dyDescent="0.25"/>
    <row r="217" s="27" customFormat="1" ht="25.5" customHeight="1" x14ac:dyDescent="0.25"/>
    <row r="218" s="27" customFormat="1" ht="25.5" customHeight="1" x14ac:dyDescent="0.25"/>
    <row r="219" s="27" customFormat="1" ht="25.5" customHeight="1" x14ac:dyDescent="0.25"/>
    <row r="220" s="27" customFormat="1" ht="25.5" customHeight="1" x14ac:dyDescent="0.25"/>
    <row r="221" s="27" customFormat="1" ht="25.5" customHeight="1" x14ac:dyDescent="0.25"/>
    <row r="222" s="27" customFormat="1" ht="25.5" customHeight="1" x14ac:dyDescent="0.25"/>
    <row r="223" s="27" customFormat="1" ht="25.5" customHeight="1" x14ac:dyDescent="0.25"/>
    <row r="224" s="27" customFormat="1" ht="25.5" customHeight="1" x14ac:dyDescent="0.25"/>
    <row r="225" s="27" customFormat="1" ht="25.5" customHeight="1" x14ac:dyDescent="0.25"/>
    <row r="226" s="27" customFormat="1" ht="25.5" customHeight="1" x14ac:dyDescent="0.25"/>
    <row r="227" s="27" customFormat="1" ht="25.5" customHeight="1" x14ac:dyDescent="0.25"/>
    <row r="228" s="27" customFormat="1" ht="25.5" customHeight="1" x14ac:dyDescent="0.25"/>
    <row r="229" s="27" customFormat="1" ht="25.5" customHeight="1" x14ac:dyDescent="0.25"/>
    <row r="230" s="27" customFormat="1" ht="25.5" customHeight="1" x14ac:dyDescent="0.25"/>
    <row r="231" s="27" customFormat="1" ht="25.5" customHeight="1" x14ac:dyDescent="0.25"/>
    <row r="232" s="27" customFormat="1" ht="25.5" customHeight="1" x14ac:dyDescent="0.25"/>
    <row r="233" s="27" customFormat="1" ht="25.5" customHeight="1" x14ac:dyDescent="0.25"/>
    <row r="234" s="27" customFormat="1" ht="25.5" customHeight="1" x14ac:dyDescent="0.25"/>
    <row r="235" s="27" customFormat="1" ht="25.5" customHeight="1" x14ac:dyDescent="0.25"/>
    <row r="236" s="27" customFormat="1" ht="25.5" customHeight="1" x14ac:dyDescent="0.25"/>
    <row r="237" s="27" customFormat="1" ht="25.5" customHeight="1" x14ac:dyDescent="0.25"/>
    <row r="238" s="27" customFormat="1" ht="25.5" customHeight="1" x14ac:dyDescent="0.25"/>
    <row r="239" s="27" customFormat="1" ht="25.5" customHeight="1" x14ac:dyDescent="0.25"/>
    <row r="240" s="27" customFormat="1" ht="25.5" customHeight="1" x14ac:dyDescent="0.25"/>
    <row r="241" s="27" customFormat="1" ht="25.5" customHeight="1" x14ac:dyDescent="0.25"/>
    <row r="242" s="27" customFormat="1" ht="25.5" customHeight="1" x14ac:dyDescent="0.25"/>
    <row r="243" s="27" customFormat="1" ht="25.5" customHeight="1" x14ac:dyDescent="0.25"/>
    <row r="244" s="27" customFormat="1" ht="25.5" customHeight="1" x14ac:dyDescent="0.25"/>
    <row r="245" s="27" customFormat="1" ht="25.5" customHeight="1" x14ac:dyDescent="0.25"/>
    <row r="246" s="27" customFormat="1" ht="25.5" customHeight="1" x14ac:dyDescent="0.25"/>
    <row r="247" s="27" customFormat="1" ht="25.5" customHeight="1" x14ac:dyDescent="0.25"/>
    <row r="248" s="27" customFormat="1" ht="25.5" customHeight="1" x14ac:dyDescent="0.25"/>
    <row r="249" s="27" customFormat="1" ht="25.5" customHeight="1" x14ac:dyDescent="0.25"/>
    <row r="250" s="27" customFormat="1" ht="25.5" customHeight="1" x14ac:dyDescent="0.25"/>
    <row r="251" s="27" customFormat="1" ht="25.5" customHeight="1" x14ac:dyDescent="0.25"/>
    <row r="252" s="27" customFormat="1" ht="25.5" customHeight="1" x14ac:dyDescent="0.25"/>
    <row r="253" s="27" customFormat="1" ht="25.5" customHeight="1" x14ac:dyDescent="0.25"/>
    <row r="254" s="27" customFormat="1" ht="25.5" customHeight="1" x14ac:dyDescent="0.25"/>
    <row r="255" s="27" customFormat="1" ht="25.5" customHeight="1" x14ac:dyDescent="0.25"/>
    <row r="256" s="27" customFormat="1" ht="25.5" customHeight="1" x14ac:dyDescent="0.25"/>
    <row r="257" s="27" customFormat="1" ht="25.5" customHeight="1" x14ac:dyDescent="0.25"/>
    <row r="258" s="27" customFormat="1" ht="25.5" customHeight="1" x14ac:dyDescent="0.25"/>
    <row r="259" s="27" customFormat="1" ht="25.5" customHeight="1" x14ac:dyDescent="0.25"/>
    <row r="260" s="27" customFormat="1" ht="25.5" customHeight="1" x14ac:dyDescent="0.25"/>
    <row r="261" s="27" customFormat="1" ht="25.5" customHeight="1" x14ac:dyDescent="0.25"/>
    <row r="262" s="27" customFormat="1" ht="25.5" customHeight="1" x14ac:dyDescent="0.25"/>
    <row r="263" s="27" customFormat="1" ht="25.5" customHeight="1" x14ac:dyDescent="0.25"/>
    <row r="264" s="27" customFormat="1" ht="25.5" customHeight="1" x14ac:dyDescent="0.25"/>
    <row r="265" s="27" customFormat="1" ht="25.5" customHeight="1" x14ac:dyDescent="0.25"/>
    <row r="266" s="27" customFormat="1" ht="25.5" customHeight="1" x14ac:dyDescent="0.25"/>
    <row r="267" s="27" customFormat="1" ht="25.5" customHeight="1" x14ac:dyDescent="0.25"/>
    <row r="268" s="27" customFormat="1" ht="25.5" customHeight="1" x14ac:dyDescent="0.25"/>
    <row r="269" s="27" customFormat="1" ht="25.5" customHeight="1" x14ac:dyDescent="0.25"/>
    <row r="270" s="27" customFormat="1" ht="25.5" customHeight="1" x14ac:dyDescent="0.25"/>
    <row r="271" s="27" customFormat="1" ht="25.5" customHeight="1" x14ac:dyDescent="0.25"/>
    <row r="272" s="27" customFormat="1" ht="25.5" customHeight="1" x14ac:dyDescent="0.25"/>
    <row r="273" s="27" customFormat="1" ht="25.5" customHeight="1" x14ac:dyDescent="0.25"/>
    <row r="274" s="27" customFormat="1" ht="25.5" customHeight="1" x14ac:dyDescent="0.25"/>
    <row r="275" s="27" customFormat="1" ht="25.5" customHeight="1" x14ac:dyDescent="0.25"/>
    <row r="276" s="27" customFormat="1" ht="25.5" customHeight="1" x14ac:dyDescent="0.25"/>
    <row r="277" s="27" customFormat="1" ht="25.5" customHeight="1" x14ac:dyDescent="0.25"/>
    <row r="278" s="27" customFormat="1" ht="25.5" customHeight="1" x14ac:dyDescent="0.25"/>
    <row r="279" s="27" customFormat="1" ht="25.5" customHeight="1" x14ac:dyDescent="0.25"/>
    <row r="280" s="27" customFormat="1" ht="25.5" customHeight="1" x14ac:dyDescent="0.25"/>
    <row r="281" s="27" customFormat="1" ht="25.5" customHeight="1" x14ac:dyDescent="0.25"/>
    <row r="282" s="27" customFormat="1" ht="25.5" customHeight="1" x14ac:dyDescent="0.25"/>
    <row r="283" s="27" customFormat="1" ht="25.5" customHeight="1" x14ac:dyDescent="0.25"/>
    <row r="284" s="27" customFormat="1" ht="25.5" customHeight="1" x14ac:dyDescent="0.25"/>
    <row r="285" s="27" customFormat="1" ht="25.5" customHeight="1" x14ac:dyDescent="0.25"/>
    <row r="286" s="27" customFormat="1" ht="25.5" customHeight="1" x14ac:dyDescent="0.25"/>
    <row r="287" s="27" customFormat="1" ht="25.5" customHeight="1" x14ac:dyDescent="0.25"/>
    <row r="288" s="27" customFormat="1" ht="25.5" customHeight="1" x14ac:dyDescent="0.25"/>
    <row r="289" s="27" customFormat="1" ht="25.5" customHeight="1" x14ac:dyDescent="0.25"/>
    <row r="290" s="27" customFormat="1" ht="25.5" customHeight="1" x14ac:dyDescent="0.25"/>
    <row r="291" s="27" customFormat="1" ht="25.5" customHeight="1" x14ac:dyDescent="0.25"/>
    <row r="292" s="27" customFormat="1" ht="25.5" customHeight="1" x14ac:dyDescent="0.25"/>
    <row r="293" s="27" customFormat="1" ht="25.5" customHeight="1" x14ac:dyDescent="0.25"/>
    <row r="294" s="27" customFormat="1" ht="25.5" customHeight="1" x14ac:dyDescent="0.25"/>
    <row r="295" s="27" customFormat="1" ht="25.5" customHeight="1" x14ac:dyDescent="0.25"/>
    <row r="296" s="27" customFormat="1" ht="25.5" customHeight="1" x14ac:dyDescent="0.25"/>
    <row r="297" s="27" customFormat="1" ht="25.5" customHeight="1" x14ac:dyDescent="0.25"/>
    <row r="298" s="27" customFormat="1" ht="25.5" customHeight="1" x14ac:dyDescent="0.25"/>
    <row r="299" s="27" customFormat="1" ht="25.5" customHeight="1" x14ac:dyDescent="0.25"/>
    <row r="300" s="27" customFormat="1" ht="25.5" customHeight="1" x14ac:dyDescent="0.25"/>
    <row r="301" s="27" customFormat="1" ht="25.5" customHeight="1" x14ac:dyDescent="0.25"/>
    <row r="302" s="27" customFormat="1" ht="25.5" customHeight="1" x14ac:dyDescent="0.25"/>
    <row r="303" s="27" customFormat="1" ht="25.5" customHeight="1" x14ac:dyDescent="0.25"/>
    <row r="304" s="27" customFormat="1" ht="25.5" customHeight="1" x14ac:dyDescent="0.25"/>
    <row r="305" s="27" customFormat="1" ht="25.5" customHeight="1" x14ac:dyDescent="0.25"/>
    <row r="306" s="27" customFormat="1" ht="25.5" customHeight="1" x14ac:dyDescent="0.25"/>
    <row r="307" s="27" customFormat="1" ht="25.5" customHeight="1" x14ac:dyDescent="0.25"/>
    <row r="308" s="27" customFormat="1" ht="25.5" customHeight="1" x14ac:dyDescent="0.25"/>
    <row r="309" s="27" customFormat="1" ht="25.5" customHeight="1" x14ac:dyDescent="0.25"/>
    <row r="310" s="27" customFormat="1" ht="25.5" customHeight="1" x14ac:dyDescent="0.25"/>
    <row r="311" s="27" customFormat="1" ht="25.5" customHeight="1" x14ac:dyDescent="0.25"/>
    <row r="312" s="27" customFormat="1" ht="25.5" customHeight="1" x14ac:dyDescent="0.25"/>
    <row r="313" s="27" customFormat="1" ht="25.5" customHeight="1" x14ac:dyDescent="0.25"/>
    <row r="314" s="27" customFormat="1" ht="25.5" customHeight="1" x14ac:dyDescent="0.25"/>
    <row r="315" s="27" customFormat="1" ht="25.5" customHeight="1" x14ac:dyDescent="0.25"/>
    <row r="316" s="27" customFormat="1" ht="25.5" customHeight="1" x14ac:dyDescent="0.25"/>
    <row r="317" s="27" customFormat="1" ht="25.5" customHeight="1" x14ac:dyDescent="0.25"/>
    <row r="318" s="27" customFormat="1" ht="25.5" customHeight="1" x14ac:dyDescent="0.25"/>
    <row r="319" s="27" customFormat="1" ht="25.5" customHeight="1" x14ac:dyDescent="0.25"/>
    <row r="320" s="27" customFormat="1" ht="25.5" customHeight="1" x14ac:dyDescent="0.25"/>
    <row r="321" s="27" customFormat="1" ht="25.5" customHeight="1" x14ac:dyDescent="0.25"/>
    <row r="322" s="27" customFormat="1" ht="25.5" customHeight="1" x14ac:dyDescent="0.25"/>
    <row r="323" s="27" customFormat="1" ht="25.5" customHeight="1" x14ac:dyDescent="0.25"/>
    <row r="324" s="27" customFormat="1" ht="25.5" customHeight="1" x14ac:dyDescent="0.25"/>
    <row r="325" s="27" customFormat="1" ht="25.5" customHeight="1" x14ac:dyDescent="0.25"/>
    <row r="326" s="27" customFormat="1" ht="25.5" customHeight="1" x14ac:dyDescent="0.25"/>
    <row r="327" s="27" customFormat="1" ht="25.5" customHeight="1" x14ac:dyDescent="0.25"/>
    <row r="328" s="27" customFormat="1" ht="25.5" customHeight="1" x14ac:dyDescent="0.25"/>
    <row r="329" s="27" customFormat="1" ht="25.5" customHeight="1" x14ac:dyDescent="0.25"/>
    <row r="330" s="27" customFormat="1" ht="25.5" customHeight="1" x14ac:dyDescent="0.25"/>
    <row r="331" s="27" customFormat="1" ht="25.5" customHeight="1" x14ac:dyDescent="0.25"/>
    <row r="332" s="27" customFormat="1" ht="25.5" customHeight="1" x14ac:dyDescent="0.25"/>
    <row r="333" s="27" customFormat="1" ht="25.5" customHeight="1" x14ac:dyDescent="0.25"/>
    <row r="334" s="27" customFormat="1" ht="25.5" customHeight="1" x14ac:dyDescent="0.25"/>
    <row r="335" s="27" customFormat="1" ht="25.5" customHeight="1" x14ac:dyDescent="0.25"/>
    <row r="336" s="27" customFormat="1" ht="25.5" customHeight="1" x14ac:dyDescent="0.25"/>
    <row r="337" s="27" customFormat="1" ht="25.5" customHeight="1" x14ac:dyDescent="0.25"/>
    <row r="338" s="27" customFormat="1" ht="25.5" customHeight="1" x14ac:dyDescent="0.25"/>
    <row r="339" s="27" customFormat="1" ht="25.5" customHeight="1" x14ac:dyDescent="0.25"/>
    <row r="340" s="27" customFormat="1" ht="25.5" customHeight="1" x14ac:dyDescent="0.25"/>
    <row r="341" s="27" customFormat="1" ht="25.5" customHeight="1" x14ac:dyDescent="0.25"/>
    <row r="342" s="27" customFormat="1" ht="25.5" customHeight="1" x14ac:dyDescent="0.25"/>
    <row r="343" s="27" customFormat="1" ht="25.5" customHeight="1" x14ac:dyDescent="0.25"/>
    <row r="344" s="27" customFormat="1" ht="25.5" customHeight="1" x14ac:dyDescent="0.25"/>
    <row r="345" s="27" customFormat="1" ht="25.5" customHeight="1" x14ac:dyDescent="0.25"/>
    <row r="346" s="27" customFormat="1" ht="25.5" customHeight="1" x14ac:dyDescent="0.25"/>
    <row r="347" s="27" customFormat="1" ht="25.5" customHeight="1" x14ac:dyDescent="0.25"/>
    <row r="348" s="27" customFormat="1" ht="25.5" customHeight="1" x14ac:dyDescent="0.25"/>
    <row r="349" s="27" customFormat="1" ht="25.5" customHeight="1" x14ac:dyDescent="0.25"/>
    <row r="350" s="27" customFormat="1" ht="25.5" customHeight="1" x14ac:dyDescent="0.25"/>
    <row r="351" s="27" customFormat="1" ht="25.5" customHeight="1" x14ac:dyDescent="0.25"/>
    <row r="352" s="27" customFormat="1" ht="25.5" customHeight="1" x14ac:dyDescent="0.25"/>
    <row r="353" s="27" customFormat="1" ht="25.5" customHeight="1" x14ac:dyDescent="0.25"/>
    <row r="354" s="27" customFormat="1" ht="25.5" customHeight="1" x14ac:dyDescent="0.25"/>
    <row r="355" s="27" customFormat="1" ht="25.5" customHeight="1" x14ac:dyDescent="0.25"/>
    <row r="356" s="27" customFormat="1" ht="25.5" customHeight="1" x14ac:dyDescent="0.25"/>
    <row r="357" s="27" customFormat="1" ht="25.5" customHeight="1" x14ac:dyDescent="0.25"/>
    <row r="358" s="27" customFormat="1" ht="25.5" customHeight="1" x14ac:dyDescent="0.25"/>
    <row r="359" s="27" customFormat="1" ht="25.5" customHeight="1" x14ac:dyDescent="0.25"/>
    <row r="360" s="27" customFormat="1" ht="25.5" customHeight="1" x14ac:dyDescent="0.25"/>
    <row r="361" s="27" customFormat="1" ht="25.5" customHeight="1" x14ac:dyDescent="0.25"/>
    <row r="362" s="27" customFormat="1" ht="25.5" customHeight="1" x14ac:dyDescent="0.25"/>
    <row r="363" s="27" customFormat="1" ht="25.5" customHeight="1" x14ac:dyDescent="0.25"/>
    <row r="364" s="27" customFormat="1" ht="25.5" customHeight="1" x14ac:dyDescent="0.25"/>
    <row r="365" s="27" customFormat="1" ht="25.5" customHeight="1" x14ac:dyDescent="0.25"/>
    <row r="366" s="27" customFormat="1" ht="25.5" customHeight="1" x14ac:dyDescent="0.25"/>
    <row r="367" s="27" customFormat="1" ht="25.5" customHeight="1" x14ac:dyDescent="0.25"/>
    <row r="368" s="27" customFormat="1" ht="25.5" customHeight="1" x14ac:dyDescent="0.25"/>
    <row r="369" s="27" customFormat="1" ht="25.5" customHeight="1" x14ac:dyDescent="0.25"/>
    <row r="370" s="27" customFormat="1" ht="25.5" customHeight="1" x14ac:dyDescent="0.25"/>
    <row r="371" s="27" customFormat="1" ht="25.5" customHeight="1" x14ac:dyDescent="0.25"/>
    <row r="372" s="27" customFormat="1" ht="25.5" customHeight="1" x14ac:dyDescent="0.25"/>
    <row r="373" s="27" customFormat="1" ht="25.5" customHeight="1" x14ac:dyDescent="0.25"/>
    <row r="374" s="27" customFormat="1" ht="25.5" customHeight="1" x14ac:dyDescent="0.25"/>
    <row r="375" s="27" customFormat="1" ht="25.5" customHeight="1" x14ac:dyDescent="0.25"/>
    <row r="376" s="27" customFormat="1" ht="25.5" customHeight="1" x14ac:dyDescent="0.25"/>
    <row r="377" s="27" customFormat="1" ht="25.5" customHeight="1" x14ac:dyDescent="0.25"/>
    <row r="378" s="27" customFormat="1" ht="25.5" customHeight="1" x14ac:dyDescent="0.25"/>
    <row r="379" s="27" customFormat="1" ht="25.5" customHeight="1" x14ac:dyDescent="0.25"/>
    <row r="380" s="27" customFormat="1" ht="25.5" customHeight="1" x14ac:dyDescent="0.25"/>
    <row r="381" s="27" customFormat="1" ht="25.5" customHeight="1" x14ac:dyDescent="0.25"/>
    <row r="382" s="27" customFormat="1" ht="25.5" customHeight="1" x14ac:dyDescent="0.25"/>
    <row r="383" s="27" customFormat="1" ht="25.5" customHeight="1" x14ac:dyDescent="0.25"/>
    <row r="384" s="27" customFormat="1" ht="25.5" customHeight="1" x14ac:dyDescent="0.25"/>
    <row r="385" s="27" customFormat="1" ht="25.5" customHeight="1" x14ac:dyDescent="0.25"/>
    <row r="386" s="27" customFormat="1" ht="25.5" customHeight="1" x14ac:dyDescent="0.25"/>
    <row r="387" s="27" customFormat="1" ht="25.5" customHeight="1" x14ac:dyDescent="0.25"/>
    <row r="388" s="27" customFormat="1" ht="25.5" customHeight="1" x14ac:dyDescent="0.25"/>
    <row r="389" s="27" customFormat="1" ht="25.5" customHeight="1" x14ac:dyDescent="0.25"/>
    <row r="390" s="27" customFormat="1" ht="25.5" customHeight="1" x14ac:dyDescent="0.25"/>
    <row r="391" s="27" customFormat="1" ht="25.5" customHeight="1" x14ac:dyDescent="0.25"/>
    <row r="392" s="27" customFormat="1" ht="25.5" customHeight="1" x14ac:dyDescent="0.25"/>
    <row r="393" s="27" customFormat="1" ht="25.5" customHeight="1" x14ac:dyDescent="0.25"/>
    <row r="394" s="27" customFormat="1" ht="25.5" customHeight="1" x14ac:dyDescent="0.25"/>
    <row r="395" s="27" customFormat="1" ht="25.5" customHeight="1" x14ac:dyDescent="0.25"/>
    <row r="396" s="27" customFormat="1" ht="25.5" customHeight="1" x14ac:dyDescent="0.25"/>
    <row r="397" s="27" customFormat="1" ht="25.5" customHeight="1" x14ac:dyDescent="0.25"/>
    <row r="398" s="27" customFormat="1" ht="25.5" customHeight="1" x14ac:dyDescent="0.25"/>
    <row r="399" s="27" customFormat="1" ht="25.5" customHeight="1" x14ac:dyDescent="0.25"/>
    <row r="400" s="27" customFormat="1" ht="25.5" customHeight="1" x14ac:dyDescent="0.25"/>
    <row r="401" s="27" customFormat="1" ht="25.5" customHeight="1" x14ac:dyDescent="0.25"/>
    <row r="402" s="27" customFormat="1" ht="25.5" customHeight="1" x14ac:dyDescent="0.25"/>
    <row r="403" s="27" customFormat="1" ht="25.5" customHeight="1" x14ac:dyDescent="0.25"/>
    <row r="404" s="27" customFormat="1" ht="25.5" customHeight="1" x14ac:dyDescent="0.25"/>
    <row r="405" s="27" customFormat="1" ht="25.5" customHeight="1" x14ac:dyDescent="0.25"/>
    <row r="406" s="27" customFormat="1" ht="25.5" customHeight="1" x14ac:dyDescent="0.25"/>
    <row r="407" s="27" customFormat="1" ht="25.5" customHeight="1" x14ac:dyDescent="0.25"/>
    <row r="408" s="27" customFormat="1" ht="25.5" customHeight="1" x14ac:dyDescent="0.25"/>
    <row r="409" s="27" customFormat="1" ht="25.5" customHeight="1" x14ac:dyDescent="0.25"/>
    <row r="410" s="27" customFormat="1" ht="25.5" customHeight="1" x14ac:dyDescent="0.25"/>
    <row r="411" s="27" customFormat="1" ht="25.5" customHeight="1" x14ac:dyDescent="0.25"/>
    <row r="412" s="27" customFormat="1" ht="25.5" customHeight="1" x14ac:dyDescent="0.25"/>
    <row r="413" s="27" customFormat="1" ht="25.5" customHeight="1" x14ac:dyDescent="0.25"/>
    <row r="414" s="27" customFormat="1" ht="25.5" customHeight="1" x14ac:dyDescent="0.25"/>
    <row r="415" s="27" customFormat="1" ht="25.5" customHeight="1" x14ac:dyDescent="0.25"/>
    <row r="416" s="27" customFormat="1" ht="25.5" customHeight="1" x14ac:dyDescent="0.25"/>
    <row r="417" s="27" customFormat="1" ht="25.5" customHeight="1" x14ac:dyDescent="0.25"/>
    <row r="418" s="27" customFormat="1" ht="25.5" customHeight="1" x14ac:dyDescent="0.25"/>
    <row r="419" s="27" customFormat="1" ht="25.5" customHeight="1" x14ac:dyDescent="0.25"/>
    <row r="420" s="27" customFormat="1" ht="25.5" customHeight="1" x14ac:dyDescent="0.25"/>
    <row r="421" s="27" customFormat="1" ht="25.5" customHeight="1" x14ac:dyDescent="0.25"/>
    <row r="422" s="27" customFormat="1" ht="25.5" customHeight="1" x14ac:dyDescent="0.25"/>
    <row r="423" s="27" customFormat="1" ht="25.5" customHeight="1" x14ac:dyDescent="0.25"/>
    <row r="424" s="27" customFormat="1" ht="25.5" customHeight="1" x14ac:dyDescent="0.25"/>
    <row r="425" s="27" customFormat="1" ht="25.5" customHeight="1" x14ac:dyDescent="0.25"/>
    <row r="426" s="27" customFormat="1" ht="25.5" customHeight="1" x14ac:dyDescent="0.25"/>
    <row r="427" s="27" customFormat="1" ht="25.5" customHeight="1" x14ac:dyDescent="0.25"/>
    <row r="428" s="27" customFormat="1" ht="25.5" customHeight="1" x14ac:dyDescent="0.25"/>
    <row r="429" s="27" customFormat="1" ht="25.5" customHeight="1" x14ac:dyDescent="0.25"/>
    <row r="430" s="27" customFormat="1" ht="25.5" customHeight="1" x14ac:dyDescent="0.25"/>
    <row r="431" s="27" customFormat="1" ht="25.5" customHeight="1" x14ac:dyDescent="0.25"/>
    <row r="432" s="27" customFormat="1" ht="25.5" customHeight="1" x14ac:dyDescent="0.25"/>
    <row r="433" s="27" customFormat="1" ht="25.5" customHeight="1" x14ac:dyDescent="0.25"/>
    <row r="434" s="27" customFormat="1" ht="25.5" customHeight="1" x14ac:dyDescent="0.25"/>
    <row r="435" s="27" customFormat="1" ht="25.5" customHeight="1" x14ac:dyDescent="0.25"/>
    <row r="436" s="27" customFormat="1" ht="25.5" customHeight="1" x14ac:dyDescent="0.25"/>
    <row r="437" s="27" customFormat="1" ht="25.5" customHeight="1" x14ac:dyDescent="0.25"/>
    <row r="438" s="27" customFormat="1" ht="25.5" customHeight="1" x14ac:dyDescent="0.25"/>
    <row r="439" s="27" customFormat="1" ht="25.5" customHeight="1" x14ac:dyDescent="0.25"/>
    <row r="440" s="27" customFormat="1" ht="25.5" customHeight="1" x14ac:dyDescent="0.25"/>
    <row r="441" s="27" customFormat="1" ht="25.5" customHeight="1" x14ac:dyDescent="0.25"/>
    <row r="442" s="27" customFormat="1" ht="25.5" customHeight="1" x14ac:dyDescent="0.25"/>
    <row r="443" s="27" customFormat="1" ht="25.5" customHeight="1" x14ac:dyDescent="0.25"/>
    <row r="444" s="27" customFormat="1" ht="25.5" customHeight="1" x14ac:dyDescent="0.25"/>
    <row r="445" s="27" customFormat="1" ht="25.5" customHeight="1" x14ac:dyDescent="0.25"/>
    <row r="446" s="27" customFormat="1" ht="25.5" customHeight="1" x14ac:dyDescent="0.25"/>
  </sheetData>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
  <sheetViews>
    <sheetView workbookViewId="0">
      <selection activeCell="K34" sqref="K34"/>
    </sheetView>
  </sheetViews>
  <sheetFormatPr defaultRowHeight="14.5" x14ac:dyDescent="0.35"/>
  <sheetData>
    <row r="1" spans="1:1" x14ac:dyDescent="0.35">
      <c r="A1" t="s">
        <v>218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09"/>
  <sheetViews>
    <sheetView zoomScaleNormal="100" workbookViewId="0">
      <pane ySplit="1" topLeftCell="A181" activePane="bottomLeft" state="frozen"/>
      <selection pane="bottomLeft" activeCell="O208" sqref="O208"/>
    </sheetView>
  </sheetViews>
  <sheetFormatPr defaultColWidth="9" defaultRowHeight="14.5" x14ac:dyDescent="0.35"/>
  <cols>
    <col min="1" max="1" width="11.81640625" customWidth="1"/>
    <col min="2" max="2" width="16.54296875" bestFit="1" customWidth="1"/>
    <col min="3" max="3" width="15.453125" bestFit="1" customWidth="1"/>
    <col min="4" max="4" width="16" bestFit="1" customWidth="1"/>
    <col min="5" max="5" width="14" bestFit="1" customWidth="1"/>
    <col min="6" max="6" width="17.54296875" bestFit="1" customWidth="1"/>
    <col min="7" max="7" width="16.453125" bestFit="1" customWidth="1"/>
    <col min="8" max="8" width="12.1796875" bestFit="1" customWidth="1"/>
    <col min="9" max="9" width="14.54296875" bestFit="1" customWidth="1"/>
    <col min="10" max="11" width="14.453125" bestFit="1" customWidth="1"/>
  </cols>
  <sheetData>
    <row r="1" spans="1:11" ht="22.5" customHeight="1" x14ac:dyDescent="0.35">
      <c r="A1" s="32" t="s">
        <v>0</v>
      </c>
      <c r="B1" s="33" t="s">
        <v>219</v>
      </c>
      <c r="C1" s="34" t="s">
        <v>220</v>
      </c>
      <c r="D1" s="35" t="s">
        <v>221</v>
      </c>
      <c r="E1" s="35" t="s">
        <v>222</v>
      </c>
      <c r="F1" s="35" t="s">
        <v>223</v>
      </c>
      <c r="G1" s="35" t="s">
        <v>224</v>
      </c>
      <c r="H1" s="35" t="s">
        <v>225</v>
      </c>
      <c r="I1" s="35" t="s">
        <v>226</v>
      </c>
      <c r="J1" s="35" t="s">
        <v>227</v>
      </c>
      <c r="K1" s="33" t="s">
        <v>228</v>
      </c>
    </row>
    <row r="2" spans="1:11" x14ac:dyDescent="0.35">
      <c r="A2" s="7">
        <v>40179</v>
      </c>
      <c r="B2" s="128">
        <v>9446806.2699999996</v>
      </c>
      <c r="C2" s="50">
        <v>1137906</v>
      </c>
      <c r="D2" s="51">
        <v>1133832</v>
      </c>
      <c r="E2" s="51">
        <v>24654288</v>
      </c>
      <c r="F2" s="51">
        <v>3238619</v>
      </c>
      <c r="G2" s="51">
        <v>142873</v>
      </c>
      <c r="H2" s="51">
        <v>946325</v>
      </c>
      <c r="I2" s="51">
        <v>15383338</v>
      </c>
      <c r="J2" s="51">
        <v>2664085</v>
      </c>
      <c r="K2" s="128">
        <f>SUM(B2:J2)</f>
        <v>58748072.269999996</v>
      </c>
    </row>
    <row r="3" spans="1:11" x14ac:dyDescent="0.35">
      <c r="A3" s="7">
        <v>40210</v>
      </c>
      <c r="B3" s="128">
        <v>10041458</v>
      </c>
      <c r="C3" s="50">
        <v>1097896</v>
      </c>
      <c r="D3" s="51">
        <v>725134</v>
      </c>
      <c r="E3" s="51">
        <v>26347807</v>
      </c>
      <c r="F3" s="51">
        <v>3460170</v>
      </c>
      <c r="G3" s="51">
        <v>179211</v>
      </c>
      <c r="H3" s="51">
        <v>955430</v>
      </c>
      <c r="I3" s="51">
        <v>14604277</v>
      </c>
      <c r="J3" s="51">
        <v>2671185</v>
      </c>
      <c r="K3" s="128">
        <f t="shared" ref="K3:K66" si="0">SUM(B3:J3)</f>
        <v>60082568</v>
      </c>
    </row>
    <row r="4" spans="1:11" x14ac:dyDescent="0.35">
      <c r="A4" s="7">
        <v>40238</v>
      </c>
      <c r="B4" s="128">
        <v>8260778</v>
      </c>
      <c r="C4" s="50">
        <v>1152236</v>
      </c>
      <c r="D4" s="51">
        <v>866059</v>
      </c>
      <c r="E4" s="51">
        <v>26933532</v>
      </c>
      <c r="F4" s="51">
        <v>4307879</v>
      </c>
      <c r="G4" s="51">
        <v>157054</v>
      </c>
      <c r="H4" s="51">
        <v>682561</v>
      </c>
      <c r="I4" s="51">
        <v>16994132</v>
      </c>
      <c r="J4" s="51">
        <v>3603701</v>
      </c>
      <c r="K4" s="128">
        <f t="shared" si="0"/>
        <v>62957932</v>
      </c>
    </row>
    <row r="5" spans="1:11" x14ac:dyDescent="0.35">
      <c r="A5" s="7">
        <v>40269</v>
      </c>
      <c r="B5" s="128">
        <v>10578954</v>
      </c>
      <c r="C5" s="50">
        <v>1398013</v>
      </c>
      <c r="D5" s="51">
        <v>963797</v>
      </c>
      <c r="E5" s="51">
        <v>27422357</v>
      </c>
      <c r="F5" s="51">
        <v>3844972</v>
      </c>
      <c r="G5" s="51">
        <v>217730</v>
      </c>
      <c r="H5" s="51">
        <v>673595</v>
      </c>
      <c r="I5" s="51">
        <v>16312189</v>
      </c>
      <c r="J5" s="51">
        <v>2887256</v>
      </c>
      <c r="K5" s="128">
        <f t="shared" si="0"/>
        <v>64298863</v>
      </c>
    </row>
    <row r="6" spans="1:11" x14ac:dyDescent="0.35">
      <c r="A6" s="7">
        <v>40299</v>
      </c>
      <c r="B6" s="128">
        <v>10553132</v>
      </c>
      <c r="C6" s="50">
        <v>1248948</v>
      </c>
      <c r="D6" s="51">
        <v>1014215</v>
      </c>
      <c r="E6" s="51">
        <v>26369688</v>
      </c>
      <c r="F6" s="51">
        <v>3794169</v>
      </c>
      <c r="G6" s="51">
        <v>160611</v>
      </c>
      <c r="H6" s="51">
        <v>719705</v>
      </c>
      <c r="I6" s="51">
        <v>14799126</v>
      </c>
      <c r="J6" s="51">
        <v>3074449</v>
      </c>
      <c r="K6" s="128">
        <f t="shared" si="0"/>
        <v>61734043</v>
      </c>
    </row>
    <row r="7" spans="1:11" x14ac:dyDescent="0.35">
      <c r="A7" s="7">
        <v>40330</v>
      </c>
      <c r="B7" s="128">
        <v>10494681</v>
      </c>
      <c r="C7" s="50">
        <v>1238023</v>
      </c>
      <c r="D7" s="51">
        <v>758954</v>
      </c>
      <c r="E7" s="51">
        <v>26880327</v>
      </c>
      <c r="F7" s="51">
        <v>3629985</v>
      </c>
      <c r="G7" s="51">
        <v>183811</v>
      </c>
      <c r="H7" s="51">
        <v>585161</v>
      </c>
      <c r="I7" s="51">
        <v>16765640</v>
      </c>
      <c r="J7" s="51">
        <v>3629147</v>
      </c>
      <c r="K7" s="128">
        <f t="shared" si="0"/>
        <v>64165729</v>
      </c>
    </row>
    <row r="8" spans="1:11" x14ac:dyDescent="0.35">
      <c r="A8" s="7">
        <v>40360</v>
      </c>
      <c r="B8" s="128">
        <v>10510599</v>
      </c>
      <c r="C8" s="50">
        <v>1397349</v>
      </c>
      <c r="D8" s="51">
        <v>763230</v>
      </c>
      <c r="E8" s="51">
        <v>28368617</v>
      </c>
      <c r="F8" s="51">
        <v>3569218</v>
      </c>
      <c r="G8" s="51">
        <v>211521</v>
      </c>
      <c r="H8" s="51">
        <v>751323</v>
      </c>
      <c r="I8" s="51">
        <v>14008075</v>
      </c>
      <c r="J8" s="51">
        <v>3292801</v>
      </c>
      <c r="K8" s="128">
        <f t="shared" si="0"/>
        <v>62872733</v>
      </c>
    </row>
    <row r="9" spans="1:11" x14ac:dyDescent="0.35">
      <c r="A9" s="7">
        <v>40391</v>
      </c>
      <c r="B9" s="128">
        <v>10405098</v>
      </c>
      <c r="C9" s="50">
        <v>1219163</v>
      </c>
      <c r="D9" s="51">
        <v>734753</v>
      </c>
      <c r="E9" s="51">
        <v>27713198</v>
      </c>
      <c r="F9" s="51">
        <v>3476947</v>
      </c>
      <c r="G9" s="51">
        <v>176887</v>
      </c>
      <c r="H9" s="51">
        <v>672112</v>
      </c>
      <c r="I9" s="51">
        <v>13562752</v>
      </c>
      <c r="J9" s="51">
        <v>4834967</v>
      </c>
      <c r="K9" s="128">
        <f t="shared" si="0"/>
        <v>62795877</v>
      </c>
    </row>
    <row r="10" spans="1:11" x14ac:dyDescent="0.35">
      <c r="A10" s="7">
        <v>40422</v>
      </c>
      <c r="B10" s="128">
        <v>10655965</v>
      </c>
      <c r="C10" s="50">
        <v>1220815</v>
      </c>
      <c r="D10" s="51">
        <v>757643</v>
      </c>
      <c r="E10" s="51">
        <v>19885440</v>
      </c>
      <c r="F10" s="51">
        <v>3970700</v>
      </c>
      <c r="G10" s="51">
        <v>139348</v>
      </c>
      <c r="H10" s="51">
        <v>648029</v>
      </c>
      <c r="I10" s="51">
        <v>15553957</v>
      </c>
      <c r="J10" s="51">
        <v>3727767</v>
      </c>
      <c r="K10" s="128">
        <f t="shared" si="0"/>
        <v>56559664</v>
      </c>
    </row>
    <row r="11" spans="1:11" x14ac:dyDescent="0.35">
      <c r="A11" s="7">
        <v>40452</v>
      </c>
      <c r="B11" s="128">
        <v>11178836</v>
      </c>
      <c r="C11" s="50">
        <v>1416218</v>
      </c>
      <c r="D11" s="51">
        <v>816315</v>
      </c>
      <c r="E11" s="51">
        <v>26380454</v>
      </c>
      <c r="F11" s="51">
        <v>3757558</v>
      </c>
      <c r="G11" s="51">
        <v>217072</v>
      </c>
      <c r="H11" s="51">
        <v>717419</v>
      </c>
      <c r="I11" s="51">
        <v>13911334</v>
      </c>
      <c r="J11" s="51">
        <v>3827008</v>
      </c>
      <c r="K11" s="128">
        <f t="shared" si="0"/>
        <v>62222214</v>
      </c>
    </row>
    <row r="12" spans="1:11" x14ac:dyDescent="0.35">
      <c r="A12" s="7">
        <v>40483</v>
      </c>
      <c r="B12" s="128">
        <v>10303775</v>
      </c>
      <c r="C12" s="50">
        <v>1156217</v>
      </c>
      <c r="D12" s="51">
        <v>1054961</v>
      </c>
      <c r="E12" s="51">
        <v>25599640</v>
      </c>
      <c r="F12" s="51">
        <v>3547983</v>
      </c>
      <c r="G12" s="51">
        <v>159084</v>
      </c>
      <c r="H12" s="51">
        <v>649969</v>
      </c>
      <c r="I12" s="51">
        <v>14394429</v>
      </c>
      <c r="J12" s="51">
        <v>3488236</v>
      </c>
      <c r="K12" s="128">
        <f t="shared" si="0"/>
        <v>60354294</v>
      </c>
    </row>
    <row r="13" spans="1:11" x14ac:dyDescent="0.35">
      <c r="A13" s="7">
        <v>40513</v>
      </c>
      <c r="B13" s="128">
        <v>11298365</v>
      </c>
      <c r="C13" s="50">
        <v>1551368</v>
      </c>
      <c r="D13" s="51">
        <v>1587824</v>
      </c>
      <c r="E13" s="51">
        <v>35176094</v>
      </c>
      <c r="F13" s="51">
        <v>4792217</v>
      </c>
      <c r="G13" s="51">
        <v>141615</v>
      </c>
      <c r="H13" s="51">
        <v>885208</v>
      </c>
      <c r="I13" s="51">
        <v>17947459</v>
      </c>
      <c r="J13" s="51">
        <v>4067866</v>
      </c>
      <c r="K13" s="128">
        <f t="shared" si="0"/>
        <v>77448016</v>
      </c>
    </row>
    <row r="14" spans="1:11" x14ac:dyDescent="0.35">
      <c r="A14" s="7">
        <v>40544</v>
      </c>
      <c r="B14" s="128">
        <v>9799624</v>
      </c>
      <c r="C14" s="50">
        <v>1258650</v>
      </c>
      <c r="D14" s="51">
        <v>791446</v>
      </c>
      <c r="E14" s="51">
        <v>25878147</v>
      </c>
      <c r="F14" s="51">
        <v>3505674</v>
      </c>
      <c r="G14" s="51">
        <v>153092</v>
      </c>
      <c r="H14" s="51">
        <v>789926</v>
      </c>
      <c r="I14" s="51">
        <v>17359677</v>
      </c>
      <c r="J14" s="51">
        <v>1082253</v>
      </c>
      <c r="K14" s="128">
        <f t="shared" si="0"/>
        <v>60618489</v>
      </c>
    </row>
    <row r="15" spans="1:11" x14ac:dyDescent="0.35">
      <c r="A15" s="7">
        <v>40575</v>
      </c>
      <c r="B15" s="128">
        <v>9853879</v>
      </c>
      <c r="C15" s="50">
        <v>1303453</v>
      </c>
      <c r="D15" s="51">
        <v>703985</v>
      </c>
      <c r="E15" s="51">
        <v>27687963</v>
      </c>
      <c r="F15" s="51">
        <v>4000054</v>
      </c>
      <c r="G15" s="51">
        <v>107286</v>
      </c>
      <c r="H15" s="51">
        <v>949565</v>
      </c>
      <c r="I15" s="51">
        <v>18671378</v>
      </c>
      <c r="J15" s="51">
        <v>3171954</v>
      </c>
      <c r="K15" s="128">
        <f t="shared" si="0"/>
        <v>66449517</v>
      </c>
    </row>
    <row r="16" spans="1:11" x14ac:dyDescent="0.35">
      <c r="A16" s="7">
        <v>40603</v>
      </c>
      <c r="B16" s="128">
        <v>10782080</v>
      </c>
      <c r="C16" s="50">
        <v>1318869</v>
      </c>
      <c r="D16" s="51">
        <v>844431</v>
      </c>
      <c r="E16" s="51">
        <v>32690913</v>
      </c>
      <c r="F16" s="51">
        <v>3813948</v>
      </c>
      <c r="G16" s="51">
        <v>138096</v>
      </c>
      <c r="H16" s="51">
        <v>1079424</v>
      </c>
      <c r="I16" s="51">
        <v>21526509</v>
      </c>
      <c r="J16" s="51">
        <v>3971616</v>
      </c>
      <c r="K16" s="128">
        <f t="shared" si="0"/>
        <v>76165886</v>
      </c>
    </row>
    <row r="17" spans="1:11" x14ac:dyDescent="0.35">
      <c r="A17" s="7">
        <v>40634</v>
      </c>
      <c r="B17" s="128">
        <v>11255959</v>
      </c>
      <c r="C17" s="50">
        <v>1605282</v>
      </c>
      <c r="D17" s="51">
        <v>985121</v>
      </c>
      <c r="E17" s="51">
        <v>27647711</v>
      </c>
      <c r="F17" s="51">
        <v>4034420</v>
      </c>
      <c r="G17" s="51">
        <v>125553</v>
      </c>
      <c r="H17" s="51">
        <v>815544</v>
      </c>
      <c r="I17" s="51">
        <v>18870285</v>
      </c>
      <c r="J17" s="51">
        <v>3393359</v>
      </c>
      <c r="K17" s="128">
        <f t="shared" si="0"/>
        <v>68733234</v>
      </c>
    </row>
    <row r="18" spans="1:11" x14ac:dyDescent="0.35">
      <c r="A18" s="7">
        <v>40664</v>
      </c>
      <c r="B18" s="128">
        <v>13240977</v>
      </c>
      <c r="C18" s="50">
        <v>1112129</v>
      </c>
      <c r="D18" s="51">
        <v>728566</v>
      </c>
      <c r="E18" s="51">
        <v>27004430</v>
      </c>
      <c r="F18" s="51">
        <v>3808700</v>
      </c>
      <c r="G18" s="51">
        <v>131641</v>
      </c>
      <c r="H18" s="51">
        <v>759630</v>
      </c>
      <c r="I18" s="51">
        <v>18361962</v>
      </c>
      <c r="J18" s="51">
        <v>3428349</v>
      </c>
      <c r="K18" s="128">
        <f t="shared" si="0"/>
        <v>68576384</v>
      </c>
    </row>
    <row r="19" spans="1:11" x14ac:dyDescent="0.35">
      <c r="A19" s="7">
        <v>40695</v>
      </c>
      <c r="B19" s="128">
        <v>12113748</v>
      </c>
      <c r="C19" s="50">
        <v>1011464</v>
      </c>
      <c r="D19" s="51">
        <v>1049770</v>
      </c>
      <c r="E19" s="51">
        <v>26459158</v>
      </c>
      <c r="F19" s="51">
        <v>3716189</v>
      </c>
      <c r="G19" s="51">
        <v>89663</v>
      </c>
      <c r="H19" s="51">
        <v>686262</v>
      </c>
      <c r="I19" s="51">
        <v>22113299</v>
      </c>
      <c r="J19" s="51">
        <v>3929902</v>
      </c>
      <c r="K19" s="128">
        <f t="shared" si="0"/>
        <v>71169455</v>
      </c>
    </row>
    <row r="20" spans="1:11" x14ac:dyDescent="0.35">
      <c r="A20" s="7">
        <v>40725</v>
      </c>
      <c r="B20" s="128">
        <v>10508880</v>
      </c>
      <c r="C20" s="50">
        <v>1397349</v>
      </c>
      <c r="D20" s="51">
        <v>763231</v>
      </c>
      <c r="E20" s="51">
        <v>28445667</v>
      </c>
      <c r="F20" s="51">
        <v>3536721</v>
      </c>
      <c r="G20" s="51">
        <v>211521</v>
      </c>
      <c r="H20" s="51">
        <v>751323</v>
      </c>
      <c r="I20" s="51">
        <v>14008075</v>
      </c>
      <c r="J20" s="51">
        <v>3286301</v>
      </c>
      <c r="K20" s="128">
        <f t="shared" si="0"/>
        <v>62909068</v>
      </c>
    </row>
    <row r="21" spans="1:11" x14ac:dyDescent="0.35">
      <c r="A21" s="7">
        <v>40756</v>
      </c>
      <c r="B21" s="128">
        <v>11873218</v>
      </c>
      <c r="C21" s="50">
        <v>1064401</v>
      </c>
      <c r="D21" s="51">
        <v>748938</v>
      </c>
      <c r="E21" s="51">
        <v>26184049</v>
      </c>
      <c r="F21" s="51">
        <v>3768310</v>
      </c>
      <c r="G21" s="51">
        <v>181530</v>
      </c>
      <c r="H21" s="51">
        <v>710406</v>
      </c>
      <c r="I21" s="51">
        <v>18759881</v>
      </c>
      <c r="J21" s="51">
        <v>3413713</v>
      </c>
      <c r="K21" s="128">
        <f t="shared" si="0"/>
        <v>66704446</v>
      </c>
    </row>
    <row r="22" spans="1:11" x14ac:dyDescent="0.35">
      <c r="A22" s="7">
        <v>40787</v>
      </c>
      <c r="B22" s="128">
        <v>11833183</v>
      </c>
      <c r="C22" s="50">
        <v>1135039</v>
      </c>
      <c r="D22" s="51">
        <v>775708</v>
      </c>
      <c r="E22" s="51">
        <v>26855126</v>
      </c>
      <c r="F22" s="51">
        <v>5770658</v>
      </c>
      <c r="G22" s="51">
        <v>135530</v>
      </c>
      <c r="H22" s="51">
        <v>722605</v>
      </c>
      <c r="I22" s="51">
        <v>18812751</v>
      </c>
      <c r="J22" s="51">
        <v>4031226</v>
      </c>
      <c r="K22" s="128">
        <f t="shared" si="0"/>
        <v>70071826</v>
      </c>
    </row>
    <row r="23" spans="1:11" x14ac:dyDescent="0.35">
      <c r="A23" s="7">
        <v>40817</v>
      </c>
      <c r="B23" s="128">
        <v>12822693</v>
      </c>
      <c r="C23" s="50">
        <v>1247087</v>
      </c>
      <c r="D23" s="51">
        <v>844474</v>
      </c>
      <c r="E23" s="51">
        <v>25392946</v>
      </c>
      <c r="F23" s="51">
        <v>3982398</v>
      </c>
      <c r="G23" s="51">
        <v>94502</v>
      </c>
      <c r="H23" s="51">
        <v>707277</v>
      </c>
      <c r="I23" s="51">
        <v>19294981</v>
      </c>
      <c r="J23" s="51">
        <v>3925869</v>
      </c>
      <c r="K23" s="128">
        <f t="shared" si="0"/>
        <v>68312227</v>
      </c>
    </row>
    <row r="24" spans="1:11" x14ac:dyDescent="0.35">
      <c r="A24" s="7">
        <v>40848</v>
      </c>
      <c r="B24" s="128">
        <v>11527018</v>
      </c>
      <c r="C24" s="50">
        <v>1083656</v>
      </c>
      <c r="D24" s="51">
        <v>841448</v>
      </c>
      <c r="E24" s="51">
        <v>25845228</v>
      </c>
      <c r="F24" s="51">
        <v>3496280</v>
      </c>
      <c r="G24" s="51">
        <v>30296</v>
      </c>
      <c r="H24" s="51">
        <v>768214</v>
      </c>
      <c r="I24" s="51">
        <v>21091448</v>
      </c>
      <c r="J24" s="51">
        <v>3690773</v>
      </c>
      <c r="K24" s="128">
        <f t="shared" si="0"/>
        <v>68374361</v>
      </c>
    </row>
    <row r="25" spans="1:11" x14ac:dyDescent="0.35">
      <c r="A25" s="7">
        <v>40878</v>
      </c>
      <c r="B25" s="128">
        <v>12426252</v>
      </c>
      <c r="C25" s="50">
        <v>1350132</v>
      </c>
      <c r="D25" s="51">
        <v>1102238</v>
      </c>
      <c r="E25" s="51">
        <v>30533772</v>
      </c>
      <c r="F25" s="51">
        <v>4615032</v>
      </c>
      <c r="G25" s="51">
        <v>55416</v>
      </c>
      <c r="H25" s="51">
        <v>899930</v>
      </c>
      <c r="I25" s="51">
        <v>25583362</v>
      </c>
      <c r="J25" s="51">
        <v>4032897</v>
      </c>
      <c r="K25" s="128">
        <f t="shared" si="0"/>
        <v>80599031</v>
      </c>
    </row>
    <row r="26" spans="1:11" x14ac:dyDescent="0.35">
      <c r="A26" s="7">
        <v>40909</v>
      </c>
      <c r="B26" s="128">
        <v>12232153</v>
      </c>
      <c r="C26" s="50">
        <v>1327604</v>
      </c>
      <c r="D26" s="51">
        <v>1456088</v>
      </c>
      <c r="E26" s="51">
        <v>26480231</v>
      </c>
      <c r="F26" s="51">
        <v>3939137</v>
      </c>
      <c r="G26" s="51">
        <v>68498</v>
      </c>
      <c r="H26" s="51">
        <v>855978</v>
      </c>
      <c r="I26" s="51">
        <v>21185794</v>
      </c>
      <c r="J26" s="51">
        <v>3545325</v>
      </c>
      <c r="K26" s="128">
        <f t="shared" si="0"/>
        <v>71090808</v>
      </c>
    </row>
    <row r="27" spans="1:11" x14ac:dyDescent="0.35">
      <c r="A27" s="7">
        <v>40940</v>
      </c>
      <c r="B27" s="128">
        <v>11998463</v>
      </c>
      <c r="C27" s="50">
        <v>1172769</v>
      </c>
      <c r="D27" s="51">
        <v>797395</v>
      </c>
      <c r="E27" s="51">
        <v>27658035</v>
      </c>
      <c r="F27" s="51">
        <v>3895239</v>
      </c>
      <c r="G27" s="51">
        <v>78451</v>
      </c>
      <c r="H27" s="51">
        <v>992481</v>
      </c>
      <c r="I27" s="51">
        <v>21576226</v>
      </c>
      <c r="J27" s="51">
        <v>3587780</v>
      </c>
      <c r="K27" s="128">
        <f t="shared" si="0"/>
        <v>71756839</v>
      </c>
    </row>
    <row r="28" spans="1:11" x14ac:dyDescent="0.35">
      <c r="A28" s="7">
        <v>40969</v>
      </c>
      <c r="B28" s="128">
        <v>13085284</v>
      </c>
      <c r="C28" s="50">
        <v>1126730</v>
      </c>
      <c r="D28" s="51">
        <v>993168</v>
      </c>
      <c r="E28" s="51">
        <v>29722933</v>
      </c>
      <c r="F28" s="51">
        <v>4527461</v>
      </c>
      <c r="G28" s="51">
        <v>106472</v>
      </c>
      <c r="H28" s="51">
        <v>719529</v>
      </c>
      <c r="I28" s="51">
        <v>22925164</v>
      </c>
      <c r="J28" s="51">
        <v>4664944</v>
      </c>
      <c r="K28" s="128">
        <f t="shared" si="0"/>
        <v>77871685</v>
      </c>
    </row>
    <row r="29" spans="1:11" x14ac:dyDescent="0.35">
      <c r="A29" s="7">
        <v>41000</v>
      </c>
      <c r="B29" s="128">
        <v>12439390</v>
      </c>
      <c r="C29" s="50">
        <v>1417017</v>
      </c>
      <c r="D29" s="51">
        <v>993036</v>
      </c>
      <c r="E29" s="51">
        <v>28021629</v>
      </c>
      <c r="F29" s="51">
        <v>4175112</v>
      </c>
      <c r="G29" s="51">
        <v>74312</v>
      </c>
      <c r="H29" s="51">
        <v>816015</v>
      </c>
      <c r="I29" s="51">
        <v>19774648</v>
      </c>
      <c r="J29" s="51">
        <v>3752254</v>
      </c>
      <c r="K29" s="128">
        <f t="shared" si="0"/>
        <v>71463413</v>
      </c>
    </row>
    <row r="30" spans="1:11" x14ac:dyDescent="0.35">
      <c r="A30" s="7">
        <v>41030</v>
      </c>
      <c r="B30" s="128">
        <v>11850335</v>
      </c>
      <c r="C30" s="50">
        <v>1195189</v>
      </c>
      <c r="D30" s="51">
        <v>928281</v>
      </c>
      <c r="E30" s="51">
        <v>29742540</v>
      </c>
      <c r="F30" s="51">
        <v>3967981</v>
      </c>
      <c r="G30" s="51">
        <v>47917</v>
      </c>
      <c r="H30" s="51">
        <v>721959</v>
      </c>
      <c r="I30" s="51">
        <v>22569297</v>
      </c>
      <c r="J30" s="51">
        <v>3929105</v>
      </c>
      <c r="K30" s="128">
        <f t="shared" si="0"/>
        <v>74952604</v>
      </c>
    </row>
    <row r="31" spans="1:11" x14ac:dyDescent="0.35">
      <c r="A31" s="7">
        <v>41061</v>
      </c>
      <c r="B31" s="128">
        <v>12697156</v>
      </c>
      <c r="C31" s="50">
        <v>1148063</v>
      </c>
      <c r="D31" s="51">
        <v>844553</v>
      </c>
      <c r="E31" s="51">
        <v>29221944</v>
      </c>
      <c r="F31" s="51">
        <v>4111417</v>
      </c>
      <c r="G31" s="51">
        <v>83355</v>
      </c>
      <c r="H31" s="51">
        <v>906631</v>
      </c>
      <c r="I31" s="51">
        <v>20221305</v>
      </c>
      <c r="J31" s="51">
        <v>4268995</v>
      </c>
      <c r="K31" s="128">
        <f t="shared" si="0"/>
        <v>73503419</v>
      </c>
    </row>
    <row r="32" spans="1:11" x14ac:dyDescent="0.35">
      <c r="A32" s="7">
        <v>41091</v>
      </c>
      <c r="B32" s="128">
        <v>13129544</v>
      </c>
      <c r="C32" s="50">
        <v>1582038</v>
      </c>
      <c r="D32" s="51">
        <v>819217</v>
      </c>
      <c r="E32" s="51">
        <v>29224571</v>
      </c>
      <c r="F32" s="51">
        <v>4080888</v>
      </c>
      <c r="G32" s="51">
        <v>60885</v>
      </c>
      <c r="H32" s="51">
        <v>872620</v>
      </c>
      <c r="I32" s="51">
        <v>19251024</v>
      </c>
      <c r="J32" s="51">
        <v>3941506</v>
      </c>
      <c r="K32" s="128">
        <f t="shared" si="0"/>
        <v>72962293</v>
      </c>
    </row>
    <row r="33" spans="1:11" x14ac:dyDescent="0.35">
      <c r="A33" s="7">
        <v>41122</v>
      </c>
      <c r="B33" s="128">
        <v>12759186</v>
      </c>
      <c r="C33" s="50">
        <v>1371857</v>
      </c>
      <c r="D33" s="51">
        <v>800702</v>
      </c>
      <c r="E33" s="51">
        <v>28254010</v>
      </c>
      <c r="F33" s="51">
        <v>4076774</v>
      </c>
      <c r="G33" s="51">
        <v>78739</v>
      </c>
      <c r="H33" s="51">
        <v>824068</v>
      </c>
      <c r="I33" s="51">
        <v>18511706</v>
      </c>
      <c r="J33" s="51">
        <v>3414166</v>
      </c>
      <c r="K33" s="128">
        <f t="shared" si="0"/>
        <v>70091208</v>
      </c>
    </row>
    <row r="34" spans="1:11" x14ac:dyDescent="0.35">
      <c r="A34" s="7">
        <v>41153</v>
      </c>
      <c r="B34" s="128">
        <v>11617697</v>
      </c>
      <c r="C34" s="50">
        <v>1365883</v>
      </c>
      <c r="D34" s="51">
        <v>818558</v>
      </c>
      <c r="E34" s="51">
        <v>30685893</v>
      </c>
      <c r="F34" s="51">
        <v>4755076</v>
      </c>
      <c r="G34" s="51">
        <v>82227</v>
      </c>
      <c r="H34" s="51">
        <v>1014477</v>
      </c>
      <c r="I34" s="51">
        <v>19237930</v>
      </c>
      <c r="J34" s="51">
        <v>4216278</v>
      </c>
      <c r="K34" s="128">
        <f t="shared" si="0"/>
        <v>73794019</v>
      </c>
    </row>
    <row r="35" spans="1:11" x14ac:dyDescent="0.35">
      <c r="A35" s="7">
        <v>41183</v>
      </c>
      <c r="B35" s="128">
        <v>13153707</v>
      </c>
      <c r="C35" s="50">
        <v>1631039</v>
      </c>
      <c r="D35" s="51">
        <v>864831</v>
      </c>
      <c r="E35" s="51">
        <v>28216743</v>
      </c>
      <c r="F35" s="51">
        <v>4215877</v>
      </c>
      <c r="G35" s="51">
        <v>87329</v>
      </c>
      <c r="H35" s="51">
        <v>847077</v>
      </c>
      <c r="I35" s="51">
        <v>22183090</v>
      </c>
      <c r="J35" s="51">
        <v>4135306</v>
      </c>
      <c r="K35" s="128">
        <f t="shared" si="0"/>
        <v>75334999</v>
      </c>
    </row>
    <row r="36" spans="1:11" x14ac:dyDescent="0.35">
      <c r="A36" s="7">
        <v>41214</v>
      </c>
      <c r="B36" s="128">
        <v>12508491</v>
      </c>
      <c r="C36" s="50">
        <v>1306183</v>
      </c>
      <c r="D36" s="51">
        <v>899087</v>
      </c>
      <c r="E36" s="51">
        <v>28276946</v>
      </c>
      <c r="F36" s="51">
        <v>3843680</v>
      </c>
      <c r="G36" s="51">
        <v>77353</v>
      </c>
      <c r="H36" s="51">
        <v>929704</v>
      </c>
      <c r="I36" s="51">
        <v>19294806</v>
      </c>
      <c r="J36" s="51">
        <v>4044809</v>
      </c>
      <c r="K36" s="128">
        <f t="shared" si="0"/>
        <v>71181059</v>
      </c>
    </row>
    <row r="37" spans="1:11" x14ac:dyDescent="0.35">
      <c r="A37" s="7">
        <v>41244</v>
      </c>
      <c r="B37" s="128">
        <v>13112561</v>
      </c>
      <c r="C37" s="50">
        <v>1434560</v>
      </c>
      <c r="D37" s="51">
        <v>1173704</v>
      </c>
      <c r="E37" s="51">
        <v>31923208</v>
      </c>
      <c r="F37" s="51">
        <v>4893912</v>
      </c>
      <c r="G37" s="51">
        <v>75414</v>
      </c>
      <c r="H37" s="51">
        <v>1017931</v>
      </c>
      <c r="I37" s="51">
        <v>22726837</v>
      </c>
      <c r="J37" s="51">
        <v>4241174</v>
      </c>
      <c r="K37" s="128">
        <f t="shared" si="0"/>
        <v>80599301</v>
      </c>
    </row>
    <row r="38" spans="1:11" x14ac:dyDescent="0.35">
      <c r="A38" s="7">
        <v>41275</v>
      </c>
      <c r="B38" s="128">
        <v>11659277</v>
      </c>
      <c r="C38" s="50">
        <v>1623046</v>
      </c>
      <c r="D38" s="51">
        <v>715876</v>
      </c>
      <c r="E38" s="51">
        <v>29559978</v>
      </c>
      <c r="F38" s="51">
        <v>4025223</v>
      </c>
      <c r="G38" s="51">
        <v>75790</v>
      </c>
      <c r="H38" s="51">
        <v>1268102</v>
      </c>
      <c r="I38" s="51">
        <v>22000333</v>
      </c>
      <c r="J38" s="51">
        <v>3751795</v>
      </c>
      <c r="K38" s="128">
        <f t="shared" si="0"/>
        <v>74679420</v>
      </c>
    </row>
    <row r="39" spans="1:11" x14ac:dyDescent="0.35">
      <c r="A39" s="7">
        <v>41306</v>
      </c>
      <c r="B39" s="128">
        <v>13494726</v>
      </c>
      <c r="C39" s="50">
        <v>1462453</v>
      </c>
      <c r="D39" s="51">
        <v>813969</v>
      </c>
      <c r="E39" s="51">
        <v>28924915</v>
      </c>
      <c r="F39" s="51">
        <v>4229557</v>
      </c>
      <c r="G39" s="51">
        <v>68141</v>
      </c>
      <c r="H39" s="51">
        <v>1127392</v>
      </c>
      <c r="I39" s="51">
        <v>19280245</v>
      </c>
      <c r="J39" s="51">
        <v>3839384</v>
      </c>
      <c r="K39" s="128">
        <f t="shared" si="0"/>
        <v>73240782</v>
      </c>
    </row>
    <row r="40" spans="1:11" x14ac:dyDescent="0.35">
      <c r="A40" s="7">
        <v>41334</v>
      </c>
      <c r="B40" s="128">
        <v>13568740</v>
      </c>
      <c r="C40" s="50">
        <v>1455706</v>
      </c>
      <c r="D40" s="51">
        <v>1074617</v>
      </c>
      <c r="E40" s="51">
        <v>31410327</v>
      </c>
      <c r="F40" s="51">
        <v>4463719</v>
      </c>
      <c r="G40" s="51">
        <v>95066</v>
      </c>
      <c r="H40" s="51">
        <v>1009116</v>
      </c>
      <c r="I40" s="51">
        <v>21200019</v>
      </c>
      <c r="J40" s="51">
        <v>4999076</v>
      </c>
      <c r="K40" s="128">
        <f t="shared" si="0"/>
        <v>79276386</v>
      </c>
    </row>
    <row r="41" spans="1:11" x14ac:dyDescent="0.35">
      <c r="A41" s="7">
        <v>41365</v>
      </c>
      <c r="B41" s="128">
        <v>12683720</v>
      </c>
      <c r="C41" s="50">
        <v>1769086</v>
      </c>
      <c r="D41" s="51">
        <v>1009518</v>
      </c>
      <c r="E41" s="51">
        <v>30411598</v>
      </c>
      <c r="F41" s="51">
        <v>4705774</v>
      </c>
      <c r="G41" s="51">
        <v>100110</v>
      </c>
      <c r="H41" s="51">
        <v>1689678</v>
      </c>
      <c r="I41" s="51">
        <v>20625770</v>
      </c>
      <c r="J41" s="51">
        <v>4292894</v>
      </c>
      <c r="K41" s="128">
        <f t="shared" si="0"/>
        <v>77288148</v>
      </c>
    </row>
    <row r="42" spans="1:11" x14ac:dyDescent="0.35">
      <c r="A42" s="7">
        <v>41395</v>
      </c>
      <c r="B42" s="128">
        <v>13193388</v>
      </c>
      <c r="C42" s="50">
        <v>1554549</v>
      </c>
      <c r="D42" s="51">
        <v>1029039</v>
      </c>
      <c r="E42" s="51">
        <v>31654802</v>
      </c>
      <c r="F42" s="51">
        <v>4038471</v>
      </c>
      <c r="G42" s="51">
        <v>98943</v>
      </c>
      <c r="H42" s="51">
        <v>1066222</v>
      </c>
      <c r="I42" s="51">
        <v>19505505</v>
      </c>
      <c r="J42" s="51">
        <v>4505056</v>
      </c>
      <c r="K42" s="128">
        <f t="shared" si="0"/>
        <v>76645975</v>
      </c>
    </row>
    <row r="43" spans="1:11" x14ac:dyDescent="0.35">
      <c r="A43" s="7">
        <v>41426</v>
      </c>
      <c r="B43" s="128">
        <v>14020400</v>
      </c>
      <c r="C43" s="50">
        <v>1477524</v>
      </c>
      <c r="D43" s="51">
        <v>905865</v>
      </c>
      <c r="E43" s="51">
        <v>32233204</v>
      </c>
      <c r="F43" s="51">
        <v>3867244</v>
      </c>
      <c r="G43" s="51">
        <v>75840</v>
      </c>
      <c r="H43" s="51">
        <v>777603</v>
      </c>
      <c r="I43" s="51">
        <v>21190534</v>
      </c>
      <c r="J43" s="51">
        <v>4514559</v>
      </c>
      <c r="K43" s="128">
        <f t="shared" si="0"/>
        <v>79062773</v>
      </c>
    </row>
    <row r="44" spans="1:11" x14ac:dyDescent="0.35">
      <c r="A44" s="7">
        <v>41456</v>
      </c>
      <c r="B44" s="128">
        <v>12958585</v>
      </c>
      <c r="C44" s="50">
        <v>1755648</v>
      </c>
      <c r="D44" s="51">
        <v>863282</v>
      </c>
      <c r="E44" s="51">
        <v>29843347</v>
      </c>
      <c r="F44" s="51">
        <v>4691523</v>
      </c>
      <c r="G44" s="51">
        <v>53178</v>
      </c>
      <c r="H44" s="51">
        <v>788078</v>
      </c>
      <c r="I44" s="51">
        <v>20362776</v>
      </c>
      <c r="J44" s="51">
        <v>3566092</v>
      </c>
      <c r="K44" s="128">
        <f t="shared" si="0"/>
        <v>74882509</v>
      </c>
    </row>
    <row r="45" spans="1:11" x14ac:dyDescent="0.35">
      <c r="A45" s="7">
        <v>41487</v>
      </c>
      <c r="B45" s="128">
        <v>12329432</v>
      </c>
      <c r="C45" s="50">
        <v>1523950</v>
      </c>
      <c r="D45" s="51">
        <v>882570</v>
      </c>
      <c r="E45" s="51">
        <v>29968807</v>
      </c>
      <c r="F45" s="51">
        <v>4034922</v>
      </c>
      <c r="G45" s="51">
        <v>119772</v>
      </c>
      <c r="H45" s="51">
        <v>762390</v>
      </c>
      <c r="I45" s="51">
        <v>18971579</v>
      </c>
      <c r="J45" s="51">
        <v>4006447</v>
      </c>
      <c r="K45" s="128">
        <f t="shared" si="0"/>
        <v>72599869</v>
      </c>
    </row>
    <row r="46" spans="1:11" x14ac:dyDescent="0.35">
      <c r="A46" s="7">
        <v>41518</v>
      </c>
      <c r="B46" s="128">
        <v>13930343</v>
      </c>
      <c r="C46" s="50">
        <v>1411634</v>
      </c>
      <c r="D46" s="51">
        <v>855802</v>
      </c>
      <c r="E46" s="51">
        <v>29160699</v>
      </c>
      <c r="F46" s="51">
        <v>5355978</v>
      </c>
      <c r="G46" s="51">
        <v>45623</v>
      </c>
      <c r="H46" s="51">
        <v>705061</v>
      </c>
      <c r="I46" s="51">
        <v>19781414</v>
      </c>
      <c r="J46" s="51">
        <v>4561313</v>
      </c>
      <c r="K46" s="128">
        <f t="shared" si="0"/>
        <v>75807867</v>
      </c>
    </row>
    <row r="47" spans="1:11" x14ac:dyDescent="0.35">
      <c r="A47" s="7">
        <v>41548</v>
      </c>
      <c r="B47" s="128">
        <v>13221604</v>
      </c>
      <c r="C47" s="50">
        <v>1730474</v>
      </c>
      <c r="D47" s="51">
        <v>875819</v>
      </c>
      <c r="E47" s="51">
        <v>30339365</v>
      </c>
      <c r="F47" s="51">
        <v>4003752</v>
      </c>
      <c r="G47" s="51">
        <v>92191</v>
      </c>
      <c r="H47" s="51">
        <v>1069993</v>
      </c>
      <c r="I47" s="51">
        <v>22297104</v>
      </c>
      <c r="J47" s="51">
        <v>4168680</v>
      </c>
      <c r="K47" s="128">
        <f t="shared" si="0"/>
        <v>77798982</v>
      </c>
    </row>
    <row r="48" spans="1:11" x14ac:dyDescent="0.35">
      <c r="A48" s="7">
        <v>41579</v>
      </c>
      <c r="B48" s="128">
        <v>14993432</v>
      </c>
      <c r="C48" s="50">
        <v>1403694</v>
      </c>
      <c r="D48" s="51">
        <v>968072</v>
      </c>
      <c r="E48" s="51">
        <v>29820679</v>
      </c>
      <c r="F48" s="51">
        <v>3860968</v>
      </c>
      <c r="G48" s="51">
        <v>80145</v>
      </c>
      <c r="H48" s="51">
        <v>966529</v>
      </c>
      <c r="I48" s="51">
        <v>21689273</v>
      </c>
      <c r="J48" s="51">
        <v>4131401</v>
      </c>
      <c r="K48" s="128">
        <f t="shared" si="0"/>
        <v>77914193</v>
      </c>
    </row>
    <row r="49" spans="1:11" x14ac:dyDescent="0.35">
      <c r="A49" s="7">
        <v>41609</v>
      </c>
      <c r="B49" s="128">
        <v>13965994</v>
      </c>
      <c r="C49" s="50">
        <v>1468461</v>
      </c>
      <c r="D49" s="51">
        <v>1207757</v>
      </c>
      <c r="E49" s="51">
        <v>32512846</v>
      </c>
      <c r="F49" s="51">
        <v>4680841</v>
      </c>
      <c r="G49" s="51">
        <v>83073</v>
      </c>
      <c r="H49" s="51">
        <v>1025388</v>
      </c>
      <c r="I49" s="51">
        <v>25204668</v>
      </c>
      <c r="J49" s="51">
        <v>4747309</v>
      </c>
      <c r="K49" s="128">
        <f t="shared" si="0"/>
        <v>84896337</v>
      </c>
    </row>
    <row r="50" spans="1:11" x14ac:dyDescent="0.35">
      <c r="A50" s="7">
        <v>41640</v>
      </c>
      <c r="B50" s="128">
        <v>12679096</v>
      </c>
      <c r="C50" s="50">
        <v>1851466</v>
      </c>
      <c r="D50" s="51">
        <v>797275</v>
      </c>
      <c r="E50" s="51">
        <v>30262469</v>
      </c>
      <c r="F50" s="51">
        <v>3189544</v>
      </c>
      <c r="G50" s="51">
        <v>82770</v>
      </c>
      <c r="H50" s="51">
        <v>1276076</v>
      </c>
      <c r="I50" s="51">
        <v>21541851</v>
      </c>
      <c r="J50" s="51">
        <v>3251705</v>
      </c>
      <c r="K50" s="128">
        <f t="shared" si="0"/>
        <v>74932252</v>
      </c>
    </row>
    <row r="51" spans="1:11" x14ac:dyDescent="0.35">
      <c r="A51" s="7">
        <v>41671</v>
      </c>
      <c r="B51" s="128">
        <v>12272739</v>
      </c>
      <c r="C51" s="50">
        <v>1595381</v>
      </c>
      <c r="D51" s="51">
        <v>811640</v>
      </c>
      <c r="E51" s="51">
        <v>27872506</v>
      </c>
      <c r="F51" s="51">
        <v>3705472</v>
      </c>
      <c r="G51" s="51">
        <v>89934</v>
      </c>
      <c r="H51" s="51">
        <v>1150344</v>
      </c>
      <c r="I51" s="51">
        <v>20398261</v>
      </c>
      <c r="J51" s="51">
        <v>3646673</v>
      </c>
      <c r="K51" s="128">
        <f t="shared" si="0"/>
        <v>71542950</v>
      </c>
    </row>
    <row r="52" spans="1:11" x14ac:dyDescent="0.35">
      <c r="A52" s="7">
        <v>41699</v>
      </c>
      <c r="B52" s="128">
        <v>13815548</v>
      </c>
      <c r="C52" s="50">
        <v>1555008</v>
      </c>
      <c r="D52" s="51">
        <v>1000082</v>
      </c>
      <c r="E52" s="51">
        <v>30807001</v>
      </c>
      <c r="F52" s="51">
        <v>4091285</v>
      </c>
      <c r="G52" s="51">
        <v>103038</v>
      </c>
      <c r="H52" s="51">
        <v>1154175</v>
      </c>
      <c r="I52" s="51">
        <v>20509435</v>
      </c>
      <c r="J52" s="51">
        <v>4244549</v>
      </c>
      <c r="K52" s="128">
        <f t="shared" si="0"/>
        <v>77280121</v>
      </c>
    </row>
    <row r="53" spans="1:11" x14ac:dyDescent="0.35">
      <c r="A53" s="7">
        <v>41730</v>
      </c>
      <c r="B53" s="128">
        <v>13483251</v>
      </c>
      <c r="C53" s="50">
        <v>1913109</v>
      </c>
      <c r="D53" s="51">
        <v>1104868</v>
      </c>
      <c r="E53" s="51">
        <v>29048359</v>
      </c>
      <c r="F53" s="51">
        <v>4501561</v>
      </c>
      <c r="G53" s="51">
        <v>98777</v>
      </c>
      <c r="H53" s="51">
        <v>968369</v>
      </c>
      <c r="I53" s="51">
        <v>21342373</v>
      </c>
      <c r="J53" s="51">
        <v>3545888</v>
      </c>
      <c r="K53" s="128">
        <f t="shared" si="0"/>
        <v>76006555</v>
      </c>
    </row>
    <row r="54" spans="1:11" x14ac:dyDescent="0.35">
      <c r="A54" s="7">
        <v>41760</v>
      </c>
      <c r="B54" s="128">
        <v>14407429</v>
      </c>
      <c r="C54" s="50">
        <v>1661978</v>
      </c>
      <c r="D54" s="51">
        <v>1063498</v>
      </c>
      <c r="E54" s="51">
        <v>29842998</v>
      </c>
      <c r="F54" s="51">
        <v>3904297</v>
      </c>
      <c r="G54" s="51">
        <v>105467</v>
      </c>
      <c r="H54" s="51">
        <v>952331</v>
      </c>
      <c r="I54" s="51">
        <v>20239962</v>
      </c>
      <c r="J54" s="51">
        <v>3518045</v>
      </c>
      <c r="K54" s="128">
        <f t="shared" si="0"/>
        <v>75696005</v>
      </c>
    </row>
    <row r="55" spans="1:11" x14ac:dyDescent="0.35">
      <c r="A55" s="7">
        <v>41791</v>
      </c>
      <c r="B55" s="128">
        <v>12934524</v>
      </c>
      <c r="C55" s="50">
        <v>1387907</v>
      </c>
      <c r="D55" s="51">
        <v>930359</v>
      </c>
      <c r="E55" s="51">
        <v>29344655</v>
      </c>
      <c r="F55" s="51">
        <v>3412354</v>
      </c>
      <c r="G55" s="51">
        <v>57987</v>
      </c>
      <c r="H55" s="51">
        <v>961570</v>
      </c>
      <c r="I55" s="51">
        <v>20874988</v>
      </c>
      <c r="J55" s="51">
        <v>4593031</v>
      </c>
      <c r="K55" s="128">
        <f t="shared" si="0"/>
        <v>74497375</v>
      </c>
    </row>
    <row r="56" spans="1:11" x14ac:dyDescent="0.35">
      <c r="A56" s="7">
        <v>41821</v>
      </c>
      <c r="B56" s="128">
        <v>13292749</v>
      </c>
      <c r="C56" s="50">
        <v>1688007</v>
      </c>
      <c r="D56" s="51">
        <v>909938</v>
      </c>
      <c r="E56" s="51">
        <v>28656701</v>
      </c>
      <c r="F56" s="51">
        <v>3124602</v>
      </c>
      <c r="G56" s="51">
        <v>63639</v>
      </c>
      <c r="H56" s="51">
        <v>909179</v>
      </c>
      <c r="I56" s="51">
        <v>19742487</v>
      </c>
      <c r="J56" s="51">
        <v>3632247</v>
      </c>
      <c r="K56" s="128">
        <f t="shared" si="0"/>
        <v>72019549</v>
      </c>
    </row>
    <row r="57" spans="1:11" x14ac:dyDescent="0.35">
      <c r="A57" s="7">
        <v>41852</v>
      </c>
      <c r="B57" s="128">
        <v>13367723</v>
      </c>
      <c r="C57" s="50">
        <v>1442935</v>
      </c>
      <c r="D57" s="51">
        <v>974332</v>
      </c>
      <c r="E57" s="51">
        <v>29512566</v>
      </c>
      <c r="F57" s="51">
        <v>3547981</v>
      </c>
      <c r="G57" s="51">
        <v>101693</v>
      </c>
      <c r="H57" s="51">
        <v>905303</v>
      </c>
      <c r="I57" s="51">
        <v>21060188</v>
      </c>
      <c r="J57" s="51">
        <v>3479836</v>
      </c>
      <c r="K57" s="128">
        <f t="shared" si="0"/>
        <v>74392557</v>
      </c>
    </row>
    <row r="58" spans="1:11" x14ac:dyDescent="0.35">
      <c r="A58" s="7">
        <v>41883</v>
      </c>
      <c r="B58" s="128">
        <v>14227887</v>
      </c>
      <c r="C58" s="50">
        <v>1450624</v>
      </c>
      <c r="D58" s="51">
        <v>842705</v>
      </c>
      <c r="E58" s="51">
        <v>29315499</v>
      </c>
      <c r="F58" s="51">
        <v>3600108</v>
      </c>
      <c r="G58" s="51">
        <v>102723</v>
      </c>
      <c r="H58" s="51">
        <v>808082</v>
      </c>
      <c r="I58" s="51">
        <v>21839796</v>
      </c>
      <c r="J58" s="51">
        <v>3964721</v>
      </c>
      <c r="K58" s="128">
        <f t="shared" si="0"/>
        <v>76152145</v>
      </c>
    </row>
    <row r="59" spans="1:11" x14ac:dyDescent="0.35">
      <c r="A59" s="7">
        <v>41913</v>
      </c>
      <c r="B59" s="128">
        <v>18493075</v>
      </c>
      <c r="C59" s="50">
        <v>1424665</v>
      </c>
      <c r="D59" s="51">
        <v>902637</v>
      </c>
      <c r="E59" s="51">
        <v>29734183</v>
      </c>
      <c r="F59" s="51">
        <v>3688582</v>
      </c>
      <c r="G59" s="51">
        <v>101474</v>
      </c>
      <c r="H59" s="51">
        <v>920412</v>
      </c>
      <c r="I59" s="51">
        <v>21150138</v>
      </c>
      <c r="J59" s="51">
        <v>3689397</v>
      </c>
      <c r="K59" s="128">
        <f t="shared" si="0"/>
        <v>80104563</v>
      </c>
    </row>
    <row r="60" spans="1:11" x14ac:dyDescent="0.35">
      <c r="A60" s="7">
        <v>41944</v>
      </c>
      <c r="B60" s="128">
        <v>16907876</v>
      </c>
      <c r="C60" s="50">
        <v>1104142</v>
      </c>
      <c r="D60" s="51">
        <v>969830</v>
      </c>
      <c r="E60" s="51">
        <v>28715735</v>
      </c>
      <c r="F60" s="51">
        <v>3294313</v>
      </c>
      <c r="G60" s="51">
        <v>79277</v>
      </c>
      <c r="H60" s="51">
        <v>893171</v>
      </c>
      <c r="I60" s="51">
        <v>20657043</v>
      </c>
      <c r="J60" s="51">
        <v>3629246</v>
      </c>
      <c r="K60" s="128">
        <f t="shared" si="0"/>
        <v>76250633</v>
      </c>
    </row>
    <row r="61" spans="1:11" x14ac:dyDescent="0.35">
      <c r="A61" s="7">
        <v>41974</v>
      </c>
      <c r="B61" s="128">
        <v>17681408</v>
      </c>
      <c r="C61" s="50">
        <v>1192513</v>
      </c>
      <c r="D61" s="51">
        <v>1396989</v>
      </c>
      <c r="E61" s="51">
        <v>32742999</v>
      </c>
      <c r="F61" s="51">
        <v>4503303</v>
      </c>
      <c r="G61" s="51">
        <v>146737</v>
      </c>
      <c r="H61" s="51">
        <v>1178685</v>
      </c>
      <c r="I61" s="51">
        <v>28495310</v>
      </c>
      <c r="J61" s="51">
        <v>3895311</v>
      </c>
      <c r="K61" s="128">
        <f t="shared" si="0"/>
        <v>91233255</v>
      </c>
    </row>
    <row r="62" spans="1:11" x14ac:dyDescent="0.35">
      <c r="A62" s="7">
        <v>42005</v>
      </c>
      <c r="B62" s="128">
        <v>16026689</v>
      </c>
      <c r="C62" s="50">
        <v>1456791</v>
      </c>
      <c r="D62" s="51">
        <v>842261</v>
      </c>
      <c r="E62" s="51">
        <v>29901012</v>
      </c>
      <c r="F62" s="51">
        <v>3255380</v>
      </c>
      <c r="G62" s="51">
        <v>83557</v>
      </c>
      <c r="H62" s="51">
        <v>1323181</v>
      </c>
      <c r="I62" s="51">
        <v>19078112</v>
      </c>
      <c r="J62" s="51">
        <v>3221709</v>
      </c>
      <c r="K62" s="128">
        <f t="shared" si="0"/>
        <v>75188692</v>
      </c>
    </row>
    <row r="63" spans="1:11" x14ac:dyDescent="0.35">
      <c r="A63" s="7">
        <v>42036</v>
      </c>
      <c r="B63" s="128">
        <v>15962254</v>
      </c>
      <c r="C63" s="50">
        <v>1187834</v>
      </c>
      <c r="D63" s="51">
        <v>842049</v>
      </c>
      <c r="E63" s="51">
        <v>29910092</v>
      </c>
      <c r="F63" s="51">
        <v>2930936</v>
      </c>
      <c r="G63" s="51">
        <v>41841</v>
      </c>
      <c r="H63" s="51">
        <v>1624113</v>
      </c>
      <c r="I63" s="51">
        <v>19349813</v>
      </c>
      <c r="J63" s="51">
        <v>3284172</v>
      </c>
      <c r="K63" s="128">
        <f t="shared" si="0"/>
        <v>75133104</v>
      </c>
    </row>
    <row r="64" spans="1:11" x14ac:dyDescent="0.35">
      <c r="A64" s="7">
        <v>42064</v>
      </c>
      <c r="B64" s="128">
        <v>17450305</v>
      </c>
      <c r="C64" s="50">
        <v>1533160</v>
      </c>
      <c r="D64" s="51">
        <v>1004070</v>
      </c>
      <c r="E64" s="51">
        <v>32036299</v>
      </c>
      <c r="F64" s="51">
        <v>3705530</v>
      </c>
      <c r="G64" s="51">
        <v>108632</v>
      </c>
      <c r="H64" s="51">
        <v>953551</v>
      </c>
      <c r="I64" s="51">
        <v>19845863</v>
      </c>
      <c r="J64" s="51">
        <v>4659450</v>
      </c>
      <c r="K64" s="128">
        <f t="shared" si="0"/>
        <v>81296860</v>
      </c>
    </row>
    <row r="65" spans="1:11" x14ac:dyDescent="0.35">
      <c r="A65" s="7">
        <v>42095</v>
      </c>
      <c r="B65" s="128">
        <v>16527677</v>
      </c>
      <c r="C65" s="50">
        <v>1064277</v>
      </c>
      <c r="D65" s="51">
        <v>1049100</v>
      </c>
      <c r="E65" s="51">
        <v>30344697</v>
      </c>
      <c r="F65" s="51">
        <v>2996718</v>
      </c>
      <c r="G65" s="51">
        <v>141143</v>
      </c>
      <c r="H65" s="51">
        <v>872009</v>
      </c>
      <c r="I65" s="51">
        <v>19167288</v>
      </c>
      <c r="J65" s="51">
        <v>3579670</v>
      </c>
      <c r="K65" s="128">
        <f t="shared" si="0"/>
        <v>75742579</v>
      </c>
    </row>
    <row r="66" spans="1:11" x14ac:dyDescent="0.35">
      <c r="A66" s="7">
        <v>42125</v>
      </c>
      <c r="B66" s="128">
        <v>16856465</v>
      </c>
      <c r="C66" s="50">
        <v>1231515</v>
      </c>
      <c r="D66" s="51">
        <v>994785</v>
      </c>
      <c r="E66" s="51">
        <v>31681935</v>
      </c>
      <c r="F66" s="51">
        <v>4071310</v>
      </c>
      <c r="G66" s="51">
        <v>66068</v>
      </c>
      <c r="H66" s="51">
        <v>1024673</v>
      </c>
      <c r="I66" s="51">
        <v>17648800</v>
      </c>
      <c r="J66" s="51">
        <v>3864092</v>
      </c>
      <c r="K66" s="128">
        <f t="shared" si="0"/>
        <v>77439643</v>
      </c>
    </row>
    <row r="67" spans="1:11" x14ac:dyDescent="0.35">
      <c r="A67" s="7">
        <v>42156</v>
      </c>
      <c r="B67" s="128">
        <v>17125450.57</v>
      </c>
      <c r="C67" s="50">
        <v>1134252.72</v>
      </c>
      <c r="D67" s="51">
        <v>855791.33</v>
      </c>
      <c r="E67" s="51">
        <v>30389398.949999999</v>
      </c>
      <c r="F67" s="51">
        <v>3221899.08</v>
      </c>
      <c r="G67" s="51">
        <v>65494.25</v>
      </c>
      <c r="H67" s="51">
        <v>794888.09</v>
      </c>
      <c r="I67" s="51">
        <v>18098729.370000001</v>
      </c>
      <c r="J67" s="51">
        <v>4277235.03</v>
      </c>
      <c r="K67" s="128">
        <f t="shared" ref="K67:K79" si="1">SUM(B67:J67)</f>
        <v>75963139.390000001</v>
      </c>
    </row>
    <row r="68" spans="1:11" x14ac:dyDescent="0.35">
      <c r="A68" s="7">
        <v>42186</v>
      </c>
      <c r="B68" s="128">
        <v>17214565</v>
      </c>
      <c r="C68" s="50">
        <v>1339076</v>
      </c>
      <c r="D68" s="51">
        <v>853461</v>
      </c>
      <c r="E68" s="51">
        <v>30344680</v>
      </c>
      <c r="F68" s="51">
        <v>3547828</v>
      </c>
      <c r="G68" s="51">
        <v>6099</v>
      </c>
      <c r="H68" s="51">
        <v>803877</v>
      </c>
      <c r="I68" s="51">
        <v>18522136</v>
      </c>
      <c r="J68" s="51">
        <v>1446105</v>
      </c>
      <c r="K68" s="128">
        <f t="shared" si="1"/>
        <v>74077827</v>
      </c>
    </row>
    <row r="69" spans="1:11" x14ac:dyDescent="0.35">
      <c r="A69" s="7">
        <v>42217</v>
      </c>
      <c r="B69" s="128">
        <v>18213552</v>
      </c>
      <c r="C69" s="50">
        <v>1142766</v>
      </c>
      <c r="D69" s="51">
        <v>833622</v>
      </c>
      <c r="E69" s="51">
        <v>29918191</v>
      </c>
      <c r="F69" s="51">
        <v>3468877</v>
      </c>
      <c r="G69" s="51">
        <v>107325</v>
      </c>
      <c r="H69" s="51">
        <v>835273</v>
      </c>
      <c r="I69" s="51">
        <v>16967031</v>
      </c>
      <c r="J69" s="51">
        <v>3260857</v>
      </c>
      <c r="K69" s="128">
        <f t="shared" si="1"/>
        <v>74747494</v>
      </c>
    </row>
    <row r="70" spans="1:11" x14ac:dyDescent="0.35">
      <c r="A70" s="7">
        <v>42248</v>
      </c>
      <c r="B70" s="128">
        <v>16968556</v>
      </c>
      <c r="C70" s="50">
        <v>1174759</v>
      </c>
      <c r="D70" s="51">
        <v>690510</v>
      </c>
      <c r="E70" s="51">
        <v>29949865</v>
      </c>
      <c r="F70" s="51">
        <v>3706791</v>
      </c>
      <c r="G70" s="51">
        <v>104083</v>
      </c>
      <c r="H70" s="51">
        <v>758329</v>
      </c>
      <c r="I70" s="51">
        <v>20578349</v>
      </c>
      <c r="J70" s="51">
        <v>3771291</v>
      </c>
      <c r="K70" s="128">
        <f t="shared" si="1"/>
        <v>77702533</v>
      </c>
    </row>
    <row r="71" spans="1:11" x14ac:dyDescent="0.35">
      <c r="A71" s="7">
        <v>42278</v>
      </c>
      <c r="B71" s="128">
        <v>18309427</v>
      </c>
      <c r="C71" s="50">
        <v>1308239</v>
      </c>
      <c r="D71" s="51">
        <v>825481</v>
      </c>
      <c r="E71" s="51">
        <v>29493911</v>
      </c>
      <c r="F71" s="51">
        <v>4982757</v>
      </c>
      <c r="G71" s="51">
        <v>262373</v>
      </c>
      <c r="H71" s="51">
        <v>848026</v>
      </c>
      <c r="I71" s="51">
        <v>16299616</v>
      </c>
      <c r="J71" s="51">
        <v>3215689</v>
      </c>
      <c r="K71" s="128">
        <f t="shared" si="1"/>
        <v>75545519</v>
      </c>
    </row>
    <row r="72" spans="1:11" x14ac:dyDescent="0.35">
      <c r="A72" s="7">
        <v>42309</v>
      </c>
      <c r="B72" s="128">
        <v>17512912</v>
      </c>
      <c r="C72" s="50">
        <v>1044174</v>
      </c>
      <c r="D72" s="51">
        <v>1043229</v>
      </c>
      <c r="E72" s="51">
        <v>28182349</v>
      </c>
      <c r="F72" s="51">
        <v>3421555</v>
      </c>
      <c r="G72" s="51">
        <v>79551</v>
      </c>
      <c r="H72" s="51">
        <v>935094</v>
      </c>
      <c r="I72" s="51">
        <v>20870724</v>
      </c>
      <c r="J72" s="51">
        <v>3067755</v>
      </c>
      <c r="K72" s="128">
        <f t="shared" si="1"/>
        <v>76157343</v>
      </c>
    </row>
    <row r="73" spans="1:11" x14ac:dyDescent="0.35">
      <c r="A73" s="7">
        <v>42339</v>
      </c>
      <c r="B73" s="128">
        <v>19418666.539999999</v>
      </c>
      <c r="C73" s="50">
        <v>1148732.06</v>
      </c>
      <c r="D73" s="51">
        <v>1171505.58</v>
      </c>
      <c r="E73" s="51">
        <v>31323076.359999999</v>
      </c>
      <c r="F73" s="51">
        <v>4355235.01</v>
      </c>
      <c r="G73" s="51">
        <v>86621.93</v>
      </c>
      <c r="H73" s="51">
        <v>993475.72</v>
      </c>
      <c r="I73" s="51">
        <v>29662584.140000001</v>
      </c>
      <c r="J73" s="51">
        <v>4171134.96</v>
      </c>
      <c r="K73" s="128">
        <f t="shared" si="1"/>
        <v>92331032.299999997</v>
      </c>
    </row>
    <row r="74" spans="1:11" x14ac:dyDescent="0.35">
      <c r="A74" s="7">
        <v>42370</v>
      </c>
      <c r="B74" s="128">
        <v>16811566</v>
      </c>
      <c r="C74" s="50">
        <v>1596086</v>
      </c>
      <c r="D74" s="51">
        <v>806882</v>
      </c>
      <c r="E74" s="51">
        <v>32859368</v>
      </c>
      <c r="F74" s="51">
        <v>3339482</v>
      </c>
      <c r="G74" s="51">
        <v>91947</v>
      </c>
      <c r="H74" s="51">
        <v>1167780</v>
      </c>
      <c r="I74" s="51">
        <v>19146553</v>
      </c>
      <c r="J74" s="51">
        <v>3123428</v>
      </c>
      <c r="K74" s="128">
        <f t="shared" si="1"/>
        <v>78943092</v>
      </c>
    </row>
    <row r="75" spans="1:11" x14ac:dyDescent="0.35">
      <c r="A75" s="7">
        <v>42401</v>
      </c>
      <c r="B75" s="128">
        <v>11836063.640000001</v>
      </c>
      <c r="C75" s="50">
        <v>1325613.4099999999</v>
      </c>
      <c r="D75" s="51">
        <v>812857.7</v>
      </c>
      <c r="E75" s="51">
        <v>29404052</v>
      </c>
      <c r="F75" s="51">
        <v>3121765.94</v>
      </c>
      <c r="G75" s="51">
        <v>93397.65</v>
      </c>
      <c r="H75" s="51">
        <v>1253431.48</v>
      </c>
      <c r="I75" s="51">
        <v>19690546.170000002</v>
      </c>
      <c r="J75" s="51">
        <v>3190662.61</v>
      </c>
      <c r="K75" s="128">
        <f t="shared" si="1"/>
        <v>70728390.599999994</v>
      </c>
    </row>
    <row r="76" spans="1:11" x14ac:dyDescent="0.35">
      <c r="A76" s="7">
        <v>42430</v>
      </c>
      <c r="B76" s="128">
        <v>18235194.440000001</v>
      </c>
      <c r="C76" s="50">
        <v>1414335.53</v>
      </c>
      <c r="D76" s="51">
        <v>898780.6</v>
      </c>
      <c r="E76" s="51">
        <v>31089567.879999999</v>
      </c>
      <c r="F76" s="51">
        <v>4461292.93</v>
      </c>
      <c r="G76" s="51">
        <v>97519.52</v>
      </c>
      <c r="H76" s="51">
        <v>1088309.56</v>
      </c>
      <c r="I76" s="51">
        <v>22044898.050000001</v>
      </c>
      <c r="J76" s="51">
        <v>4665809.7300000004</v>
      </c>
      <c r="K76" s="128">
        <f t="shared" si="1"/>
        <v>83995708.24000001</v>
      </c>
    </row>
    <row r="77" spans="1:11" x14ac:dyDescent="0.35">
      <c r="A77" s="7">
        <v>42461</v>
      </c>
      <c r="B77" s="128">
        <v>24242279</v>
      </c>
      <c r="C77" s="50">
        <v>1341191</v>
      </c>
      <c r="D77" s="51">
        <v>880591</v>
      </c>
      <c r="E77" s="51">
        <v>31778973</v>
      </c>
      <c r="F77" s="51">
        <v>3858887</v>
      </c>
      <c r="G77" s="51">
        <v>115098</v>
      </c>
      <c r="H77" s="51">
        <v>1048972</v>
      </c>
      <c r="I77" s="51">
        <v>18527472</v>
      </c>
      <c r="J77" s="51">
        <v>4074881</v>
      </c>
      <c r="K77" s="128">
        <f t="shared" si="1"/>
        <v>85868344</v>
      </c>
    </row>
    <row r="78" spans="1:11" x14ac:dyDescent="0.35">
      <c r="A78" s="7">
        <v>42491</v>
      </c>
      <c r="B78" s="128">
        <v>23918060.27</v>
      </c>
      <c r="C78" s="50">
        <v>1243345.53</v>
      </c>
      <c r="D78" s="51">
        <v>920504.72</v>
      </c>
      <c r="E78" s="51">
        <v>31016185.32</v>
      </c>
      <c r="F78" s="51">
        <v>3308272.53</v>
      </c>
      <c r="G78" s="51">
        <v>146850.01999999999</v>
      </c>
      <c r="H78" s="51">
        <v>1010412.55</v>
      </c>
      <c r="I78" s="51">
        <v>18114236.34</v>
      </c>
      <c r="J78" s="51">
        <v>3632021.39</v>
      </c>
      <c r="K78" s="128">
        <f t="shared" si="1"/>
        <v>83309888.670000002</v>
      </c>
    </row>
    <row r="79" spans="1:11" x14ac:dyDescent="0.35">
      <c r="A79" s="7">
        <v>42522</v>
      </c>
      <c r="B79" s="128">
        <v>21152696.719999999</v>
      </c>
      <c r="C79" s="50">
        <v>1217818.18</v>
      </c>
      <c r="D79" s="51">
        <v>683753.86</v>
      </c>
      <c r="E79" s="51">
        <v>31195995.140000001</v>
      </c>
      <c r="F79" s="51">
        <v>4318901.79</v>
      </c>
      <c r="G79" s="51">
        <v>82863.08</v>
      </c>
      <c r="H79" s="51">
        <v>2041404.2</v>
      </c>
      <c r="I79" s="51">
        <v>20282541.140000001</v>
      </c>
      <c r="J79" s="51">
        <v>3775579.47</v>
      </c>
      <c r="K79" s="128">
        <f t="shared" si="1"/>
        <v>84751553.579999998</v>
      </c>
    </row>
    <row r="80" spans="1:11" x14ac:dyDescent="0.35">
      <c r="A80" s="7">
        <v>42552</v>
      </c>
      <c r="B80" s="128">
        <v>22628140</v>
      </c>
      <c r="C80" s="50">
        <v>1048930</v>
      </c>
      <c r="D80" s="51">
        <v>738605</v>
      </c>
      <c r="E80" s="51">
        <v>30367159</v>
      </c>
      <c r="F80" s="51">
        <v>3279759</v>
      </c>
      <c r="G80" s="51">
        <v>87656</v>
      </c>
      <c r="H80" s="51">
        <v>1578713</v>
      </c>
      <c r="I80" s="51">
        <v>17334401</v>
      </c>
      <c r="J80" s="51">
        <v>3118629</v>
      </c>
      <c r="K80" s="128">
        <f>SUM(B80:J80)</f>
        <v>80181992</v>
      </c>
    </row>
    <row r="81" spans="1:11" x14ac:dyDescent="0.35">
      <c r="A81" s="7">
        <v>42583</v>
      </c>
      <c r="B81" s="128">
        <v>22638041</v>
      </c>
      <c r="C81" s="50">
        <v>955265</v>
      </c>
      <c r="D81" s="51">
        <v>778121</v>
      </c>
      <c r="E81" s="51">
        <v>28524152</v>
      </c>
      <c r="F81" s="51">
        <v>3078323</v>
      </c>
      <c r="G81" s="51">
        <v>76474</v>
      </c>
      <c r="H81" s="51">
        <v>967079</v>
      </c>
      <c r="I81" s="51">
        <v>18109699</v>
      </c>
      <c r="J81" s="51">
        <v>3522103</v>
      </c>
      <c r="K81" s="128">
        <f>SUM(B81:J81)</f>
        <v>78649257</v>
      </c>
    </row>
    <row r="82" spans="1:11" x14ac:dyDescent="0.35">
      <c r="A82" s="7">
        <v>42614</v>
      </c>
      <c r="B82" s="128">
        <v>22210837.23</v>
      </c>
      <c r="C82" s="50">
        <v>1324671.6399999999</v>
      </c>
      <c r="D82" s="51">
        <v>622514.43999999994</v>
      </c>
      <c r="E82" s="51">
        <v>30745468.530000001</v>
      </c>
      <c r="F82" s="51">
        <v>3476538.44</v>
      </c>
      <c r="G82" s="51">
        <v>75203.039999999994</v>
      </c>
      <c r="H82" s="51">
        <v>1022279.18</v>
      </c>
      <c r="I82" s="51">
        <v>18205855.870000001</v>
      </c>
      <c r="J82" s="51">
        <v>4648778.59</v>
      </c>
      <c r="K82" s="128">
        <f t="shared" ref="K82:K133" si="2">SUM(B82:J82)</f>
        <v>82332146.960000008</v>
      </c>
    </row>
    <row r="83" spans="1:11" x14ac:dyDescent="0.35">
      <c r="A83" s="7">
        <v>42644</v>
      </c>
      <c r="B83" s="128">
        <v>20993001.09</v>
      </c>
      <c r="C83" s="50">
        <v>1296371.31</v>
      </c>
      <c r="D83" s="51">
        <v>794359.83</v>
      </c>
      <c r="E83" s="51">
        <v>30756345.199999999</v>
      </c>
      <c r="F83" s="51">
        <v>3142505.12</v>
      </c>
      <c r="G83" s="51">
        <v>75237.14</v>
      </c>
      <c r="H83" s="51">
        <v>940994.35</v>
      </c>
      <c r="I83" s="51">
        <v>16481232.25</v>
      </c>
      <c r="J83" s="51">
        <v>4737601.16</v>
      </c>
      <c r="K83" s="128">
        <f t="shared" si="2"/>
        <v>79217647.449999988</v>
      </c>
    </row>
    <row r="84" spans="1:11" x14ac:dyDescent="0.35">
      <c r="A84" s="7">
        <v>42675</v>
      </c>
      <c r="B84" s="128">
        <v>22637472.43</v>
      </c>
      <c r="C84" s="50">
        <v>1049775.1299999999</v>
      </c>
      <c r="D84" s="51">
        <v>927481.07</v>
      </c>
      <c r="E84" s="51">
        <v>29247630.68</v>
      </c>
      <c r="F84" s="51">
        <v>3162042.74</v>
      </c>
      <c r="G84" s="51">
        <v>64791.58</v>
      </c>
      <c r="H84" s="51">
        <v>1073928.51</v>
      </c>
      <c r="I84" s="51">
        <v>20317448.559999999</v>
      </c>
      <c r="J84" s="51">
        <v>3823463.53</v>
      </c>
      <c r="K84" s="128">
        <f t="shared" si="2"/>
        <v>82304034.230000004</v>
      </c>
    </row>
    <row r="85" spans="1:11" x14ac:dyDescent="0.35">
      <c r="A85" s="7">
        <v>42705</v>
      </c>
      <c r="B85" s="128">
        <v>24707460.690000001</v>
      </c>
      <c r="C85" s="50">
        <v>1115905.3999999999</v>
      </c>
      <c r="D85" s="51">
        <v>1058322.7</v>
      </c>
      <c r="E85" s="51">
        <v>32693532.57</v>
      </c>
      <c r="F85" s="51">
        <v>4321466.83</v>
      </c>
      <c r="G85" s="51">
        <v>58817.49</v>
      </c>
      <c r="H85" s="51">
        <v>1279859.08</v>
      </c>
      <c r="I85" s="51">
        <v>23360665.66</v>
      </c>
      <c r="J85" s="51">
        <v>4873572.74</v>
      </c>
      <c r="K85" s="128">
        <f t="shared" si="2"/>
        <v>93469603.159999996</v>
      </c>
    </row>
    <row r="86" spans="1:11" x14ac:dyDescent="0.35">
      <c r="A86" s="7">
        <v>42736</v>
      </c>
      <c r="B86" s="128">
        <v>20860374.100000001</v>
      </c>
      <c r="C86" s="50">
        <v>1234093.6499999999</v>
      </c>
      <c r="D86" s="51">
        <v>720192.28</v>
      </c>
      <c r="E86" s="51">
        <v>28831644.190000001</v>
      </c>
      <c r="F86" s="51">
        <v>3051543.54</v>
      </c>
      <c r="G86" s="51">
        <v>75219.42</v>
      </c>
      <c r="H86" s="51">
        <v>1315427.77</v>
      </c>
      <c r="I86" s="51">
        <v>18385049.289999999</v>
      </c>
      <c r="J86" s="51">
        <v>4072404.16</v>
      </c>
      <c r="K86" s="128">
        <f t="shared" si="2"/>
        <v>78545948.400000006</v>
      </c>
    </row>
    <row r="87" spans="1:11" x14ac:dyDescent="0.35">
      <c r="A87" s="7">
        <v>42767</v>
      </c>
      <c r="B87" s="128">
        <v>20998783.789999999</v>
      </c>
      <c r="C87" s="50">
        <v>1076879.42</v>
      </c>
      <c r="D87" s="51">
        <v>959161.19</v>
      </c>
      <c r="E87" s="51">
        <v>29355980.190000001</v>
      </c>
      <c r="F87" s="51">
        <v>3471351.2</v>
      </c>
      <c r="G87" s="51">
        <v>79700.509999999995</v>
      </c>
      <c r="H87" s="51">
        <v>1698050.31</v>
      </c>
      <c r="I87" s="51">
        <v>17185180.16</v>
      </c>
      <c r="J87" s="51">
        <v>4401746</v>
      </c>
      <c r="K87" s="128">
        <f t="shared" si="2"/>
        <v>79226832.770000011</v>
      </c>
    </row>
    <row r="88" spans="1:11" x14ac:dyDescent="0.35">
      <c r="A88" s="7">
        <v>42795</v>
      </c>
      <c r="B88" s="128">
        <v>23509069.870000001</v>
      </c>
      <c r="C88" s="50">
        <v>1058888.24</v>
      </c>
      <c r="D88" s="51">
        <v>906124.56</v>
      </c>
      <c r="E88" s="51">
        <v>33710600.909999996</v>
      </c>
      <c r="F88" s="51">
        <v>3263086.34</v>
      </c>
      <c r="G88" s="51">
        <v>101737.46</v>
      </c>
      <c r="H88" s="51">
        <v>1028131.33</v>
      </c>
      <c r="I88" s="51">
        <v>19265317.379999999</v>
      </c>
      <c r="J88" s="51">
        <v>5221296.0200000005</v>
      </c>
      <c r="K88" s="128">
        <f t="shared" si="2"/>
        <v>88064252.109999999</v>
      </c>
    </row>
    <row r="89" spans="1:11" x14ac:dyDescent="0.35">
      <c r="A89" s="7">
        <v>42826</v>
      </c>
      <c r="B89" s="128">
        <v>22395145.02</v>
      </c>
      <c r="C89" s="50">
        <v>1254863.1499999999</v>
      </c>
      <c r="D89" s="51">
        <v>1152841.75</v>
      </c>
      <c r="E89" s="51">
        <v>31652006.140000001</v>
      </c>
      <c r="F89" s="51">
        <v>3705842.1</v>
      </c>
      <c r="G89" s="51">
        <v>93765.06</v>
      </c>
      <c r="H89" s="51">
        <v>1184809.18</v>
      </c>
      <c r="I89" s="51">
        <v>17935217.289999999</v>
      </c>
      <c r="J89" s="51">
        <v>4232674.45</v>
      </c>
      <c r="K89" s="128">
        <f t="shared" si="2"/>
        <v>83607164.140000001</v>
      </c>
    </row>
    <row r="90" spans="1:11" x14ac:dyDescent="0.35">
      <c r="A90" s="7">
        <v>42856</v>
      </c>
      <c r="B90" s="128">
        <v>22156694.48</v>
      </c>
      <c r="C90" s="50">
        <v>1130847.78</v>
      </c>
      <c r="D90" s="51">
        <v>922180.69</v>
      </c>
      <c r="E90" s="51">
        <v>32129446.68</v>
      </c>
      <c r="F90" s="51">
        <v>3643706.88</v>
      </c>
      <c r="G90" s="51">
        <v>94270.46</v>
      </c>
      <c r="H90" s="51">
        <v>1076807.93</v>
      </c>
      <c r="I90" s="51">
        <v>20058072.940000001</v>
      </c>
      <c r="J90" s="51">
        <v>4520605.72</v>
      </c>
      <c r="K90" s="128">
        <f t="shared" si="2"/>
        <v>85732633.560000002</v>
      </c>
    </row>
    <row r="91" spans="1:11" x14ac:dyDescent="0.35">
      <c r="A91" s="7">
        <v>42887</v>
      </c>
      <c r="B91" s="128">
        <v>22694134</v>
      </c>
      <c r="C91" s="50">
        <v>1071102</v>
      </c>
      <c r="D91" s="51">
        <v>896618</v>
      </c>
      <c r="E91" s="51">
        <v>30735254</v>
      </c>
      <c r="F91" s="51">
        <v>3216181</v>
      </c>
      <c r="G91" s="51">
        <v>84095</v>
      </c>
      <c r="H91" s="51">
        <v>968934</v>
      </c>
      <c r="I91" s="51">
        <v>17954256</v>
      </c>
      <c r="J91" s="51">
        <v>4918982</v>
      </c>
      <c r="K91" s="128">
        <f t="shared" si="2"/>
        <v>82539556</v>
      </c>
    </row>
    <row r="92" spans="1:11" x14ac:dyDescent="0.35">
      <c r="A92" s="7">
        <v>42917</v>
      </c>
      <c r="B92" s="128">
        <v>21678488</v>
      </c>
      <c r="C92" s="50">
        <v>1171270</v>
      </c>
      <c r="D92" s="51">
        <v>791969</v>
      </c>
      <c r="E92" s="51">
        <v>30313650</v>
      </c>
      <c r="F92" s="51">
        <v>3338522</v>
      </c>
      <c r="G92" s="51">
        <v>91974</v>
      </c>
      <c r="H92" s="51">
        <v>1275907</v>
      </c>
      <c r="I92" s="51">
        <v>16659045</v>
      </c>
      <c r="J92" s="51">
        <v>4539082</v>
      </c>
      <c r="K92" s="128">
        <f t="shared" si="2"/>
        <v>79859907</v>
      </c>
    </row>
    <row r="93" spans="1:11" x14ac:dyDescent="0.35">
      <c r="A93" s="7">
        <v>42948</v>
      </c>
      <c r="B93" s="128">
        <v>22875699</v>
      </c>
      <c r="C93" s="50">
        <v>1031694</v>
      </c>
      <c r="D93" s="51">
        <v>739533</v>
      </c>
      <c r="E93" s="51">
        <v>28504344</v>
      </c>
      <c r="F93" s="51">
        <v>3896044</v>
      </c>
      <c r="G93" s="51">
        <v>106879</v>
      </c>
      <c r="H93" s="51">
        <v>1148555</v>
      </c>
      <c r="I93" s="51">
        <v>17395427</v>
      </c>
      <c r="J93" s="51">
        <v>4195065</v>
      </c>
      <c r="K93" s="128">
        <f t="shared" si="2"/>
        <v>79893240</v>
      </c>
    </row>
    <row r="94" spans="1:11" x14ac:dyDescent="0.35">
      <c r="A94" s="7">
        <v>42979</v>
      </c>
      <c r="B94" s="128">
        <v>21151254</v>
      </c>
      <c r="C94" s="50">
        <v>996108</v>
      </c>
      <c r="D94" s="51">
        <v>879645</v>
      </c>
      <c r="E94" s="51">
        <v>30635205</v>
      </c>
      <c r="F94" s="51">
        <v>3881332</v>
      </c>
      <c r="G94" s="51">
        <v>90630</v>
      </c>
      <c r="H94" s="51">
        <v>1034939</v>
      </c>
      <c r="I94" s="51">
        <v>16902747</v>
      </c>
      <c r="J94" s="51">
        <v>5073589</v>
      </c>
      <c r="K94" s="128">
        <f t="shared" si="2"/>
        <v>80645449</v>
      </c>
    </row>
    <row r="95" spans="1:11" x14ac:dyDescent="0.35">
      <c r="A95" s="7">
        <v>43009</v>
      </c>
      <c r="B95" s="128">
        <v>23106623</v>
      </c>
      <c r="C95" s="50">
        <v>1171081</v>
      </c>
      <c r="D95" s="51">
        <v>625980</v>
      </c>
      <c r="E95" s="51">
        <v>30094452</v>
      </c>
      <c r="F95" s="51">
        <v>3458041</v>
      </c>
      <c r="G95" s="51">
        <v>86660</v>
      </c>
      <c r="H95" s="51">
        <v>1053374</v>
      </c>
      <c r="I95" s="51">
        <v>17001222</v>
      </c>
      <c r="J95" s="51">
        <v>5303142</v>
      </c>
      <c r="K95" s="128">
        <f t="shared" si="2"/>
        <v>81900575</v>
      </c>
    </row>
    <row r="96" spans="1:11" x14ac:dyDescent="0.35">
      <c r="A96" s="7">
        <v>43040</v>
      </c>
      <c r="B96" s="128">
        <v>20336008</v>
      </c>
      <c r="C96" s="50">
        <v>1005109</v>
      </c>
      <c r="D96" s="51">
        <v>952462</v>
      </c>
      <c r="E96" s="51">
        <v>28995009</v>
      </c>
      <c r="F96" s="51">
        <v>3312978</v>
      </c>
      <c r="G96" s="51">
        <v>78489</v>
      </c>
      <c r="H96" s="51">
        <v>1205926</v>
      </c>
      <c r="I96" s="51">
        <v>18064500</v>
      </c>
      <c r="J96" s="51">
        <v>4103256</v>
      </c>
      <c r="K96" s="128">
        <f t="shared" si="2"/>
        <v>78053737</v>
      </c>
    </row>
    <row r="97" spans="1:11" x14ac:dyDescent="0.35">
      <c r="A97" s="7">
        <v>43070</v>
      </c>
      <c r="B97" s="128">
        <v>24840507.050000001</v>
      </c>
      <c r="C97" s="50">
        <v>1053112.33</v>
      </c>
      <c r="D97" s="51">
        <v>982060.38</v>
      </c>
      <c r="E97" s="51">
        <v>33056954.789999999</v>
      </c>
      <c r="F97" s="51">
        <v>4311309.32</v>
      </c>
      <c r="G97" s="51">
        <v>66154.320000000007</v>
      </c>
      <c r="H97" s="51">
        <v>1387473.05</v>
      </c>
      <c r="I97" s="51">
        <v>21791922.359999999</v>
      </c>
      <c r="J97" s="51">
        <v>4778854.16</v>
      </c>
      <c r="K97" s="128">
        <f t="shared" si="2"/>
        <v>92268347.75999999</v>
      </c>
    </row>
    <row r="98" spans="1:11" x14ac:dyDescent="0.35">
      <c r="A98" s="7">
        <v>43101</v>
      </c>
      <c r="B98" s="128">
        <v>21201831.43</v>
      </c>
      <c r="C98" s="50">
        <v>1058286.1299999999</v>
      </c>
      <c r="D98" s="51">
        <v>863582.46</v>
      </c>
      <c r="E98" s="51">
        <v>28654204.850000001</v>
      </c>
      <c r="F98" s="51">
        <v>2026750.75</v>
      </c>
      <c r="G98" s="51">
        <v>71503.63</v>
      </c>
      <c r="H98" s="51">
        <v>1403960.15</v>
      </c>
      <c r="I98" s="51">
        <v>18927619.550000001</v>
      </c>
      <c r="J98" s="51">
        <v>4459720.12</v>
      </c>
      <c r="K98" s="128">
        <f t="shared" si="2"/>
        <v>78667459.070000008</v>
      </c>
    </row>
    <row r="99" spans="1:11" x14ac:dyDescent="0.35">
      <c r="A99" s="7">
        <v>43132</v>
      </c>
      <c r="B99" s="128">
        <v>20261462.050000001</v>
      </c>
      <c r="C99" s="50">
        <v>957055.39</v>
      </c>
      <c r="D99" s="51">
        <v>968572.26</v>
      </c>
      <c r="E99" s="51">
        <v>27127163.539999999</v>
      </c>
      <c r="F99" s="51">
        <v>2918224.39</v>
      </c>
      <c r="G99" s="51">
        <v>75427.289999999994</v>
      </c>
      <c r="H99" s="51">
        <v>1401577.93</v>
      </c>
      <c r="I99" s="51">
        <v>16109406.25</v>
      </c>
      <c r="J99" s="51">
        <v>4762105.3499999996</v>
      </c>
      <c r="K99" s="128">
        <f t="shared" si="2"/>
        <v>74580994.449999988</v>
      </c>
    </row>
    <row r="100" spans="1:11" x14ac:dyDescent="0.35">
      <c r="A100" s="7">
        <v>43160</v>
      </c>
      <c r="B100" s="128">
        <v>23121755.09</v>
      </c>
      <c r="C100" s="50">
        <v>977725.56</v>
      </c>
      <c r="D100" s="51">
        <v>1102773.99</v>
      </c>
      <c r="E100" s="51">
        <v>34422199.149999999</v>
      </c>
      <c r="F100" s="51">
        <v>3746982.57</v>
      </c>
      <c r="G100" s="51">
        <v>97630.92</v>
      </c>
      <c r="H100" s="51">
        <v>1462048.33</v>
      </c>
      <c r="I100" s="51">
        <v>18261870.66</v>
      </c>
      <c r="J100" s="51">
        <v>5816929.0599999996</v>
      </c>
      <c r="K100" s="128">
        <f t="shared" si="2"/>
        <v>89009915.329999998</v>
      </c>
    </row>
    <row r="101" spans="1:11" x14ac:dyDescent="0.35">
      <c r="A101" s="7">
        <v>43191</v>
      </c>
      <c r="B101" s="128">
        <v>20639224.260000002</v>
      </c>
      <c r="C101" s="50">
        <v>1162412.07</v>
      </c>
      <c r="D101" s="51">
        <v>-1997334.57</v>
      </c>
      <c r="E101" s="51">
        <v>31533943.140000001</v>
      </c>
      <c r="F101" s="51">
        <v>6634715.54</v>
      </c>
      <c r="G101" s="51">
        <v>96208.2</v>
      </c>
      <c r="H101" s="51">
        <v>1302154.31</v>
      </c>
      <c r="I101" s="51">
        <v>15743926.76</v>
      </c>
      <c r="J101" s="51">
        <v>20460920.609999999</v>
      </c>
      <c r="K101" s="128">
        <f t="shared" si="2"/>
        <v>95576170.320000008</v>
      </c>
    </row>
    <row r="102" spans="1:11" x14ac:dyDescent="0.35">
      <c r="A102" s="7">
        <v>43221</v>
      </c>
      <c r="B102" s="128">
        <v>20737976.449999999</v>
      </c>
      <c r="C102" s="50">
        <v>1181887.3799999999</v>
      </c>
      <c r="D102" s="51">
        <v>-1952230.61</v>
      </c>
      <c r="E102" s="51">
        <v>30447198.59</v>
      </c>
      <c r="F102" s="51">
        <v>3358050.21</v>
      </c>
      <c r="G102" s="51">
        <v>113863.61</v>
      </c>
      <c r="H102" s="51">
        <v>1480011.67</v>
      </c>
      <c r="I102" s="51">
        <v>17685550.079999998</v>
      </c>
      <c r="J102" s="51">
        <v>5919946.5999999996</v>
      </c>
      <c r="K102" s="128">
        <v>78972253.979999989</v>
      </c>
    </row>
    <row r="103" spans="1:11" x14ac:dyDescent="0.35">
      <c r="A103" s="7">
        <v>43252</v>
      </c>
      <c r="B103" s="128">
        <v>18977133.489</v>
      </c>
      <c r="C103" s="50">
        <v>1164857.5</v>
      </c>
      <c r="D103" s="51">
        <v>-1791075.5</v>
      </c>
      <c r="E103" s="51">
        <v>28987839.960000001</v>
      </c>
      <c r="F103" s="51">
        <v>3432507.34</v>
      </c>
      <c r="G103" s="51">
        <v>96614.13</v>
      </c>
      <c r="H103" s="51">
        <v>1095379.29</v>
      </c>
      <c r="I103" s="51">
        <v>16257709.890000001</v>
      </c>
      <c r="J103" s="51">
        <v>6521990.6899999995</v>
      </c>
      <c r="K103" s="128">
        <f t="shared" si="2"/>
        <v>74742956.789000005</v>
      </c>
    </row>
    <row r="104" spans="1:11" x14ac:dyDescent="0.35">
      <c r="A104" s="7">
        <v>43282</v>
      </c>
      <c r="B104" s="128">
        <v>19763773.739999998</v>
      </c>
      <c r="C104" s="50">
        <v>1002085.67</v>
      </c>
      <c r="D104" s="51">
        <v>-3519273.65</v>
      </c>
      <c r="E104" s="51">
        <v>31657638.370000001</v>
      </c>
      <c r="F104" s="51">
        <v>3200161.63</v>
      </c>
      <c r="G104" s="51">
        <v>75595.81</v>
      </c>
      <c r="H104" s="51">
        <v>1002919.27</v>
      </c>
      <c r="I104" s="51">
        <v>17901670.739999998</v>
      </c>
      <c r="J104" s="51">
        <v>5369209.2999999998</v>
      </c>
      <c r="K104" s="128">
        <f t="shared" si="2"/>
        <v>76453780.88000001</v>
      </c>
    </row>
    <row r="105" spans="1:11" x14ac:dyDescent="0.35">
      <c r="A105" s="7">
        <v>43313</v>
      </c>
      <c r="B105" s="128">
        <v>22135946.93</v>
      </c>
      <c r="C105" s="50">
        <v>977555.49</v>
      </c>
      <c r="D105" s="51">
        <v>628902.59</v>
      </c>
      <c r="E105" s="51">
        <v>29600988.75</v>
      </c>
      <c r="F105" s="51">
        <v>3361080.12</v>
      </c>
      <c r="G105" s="51">
        <v>105570.63</v>
      </c>
      <c r="H105" s="51">
        <v>799273.49</v>
      </c>
      <c r="I105" s="51">
        <v>18645100.52</v>
      </c>
      <c r="J105" s="51">
        <v>5448313.1899999995</v>
      </c>
      <c r="K105" s="128">
        <v>81702731.709999993</v>
      </c>
    </row>
    <row r="106" spans="1:11" x14ac:dyDescent="0.35">
      <c r="A106" s="7">
        <v>43344</v>
      </c>
      <c r="B106" s="128">
        <v>19401070.030000001</v>
      </c>
      <c r="C106" s="50">
        <v>937713.58</v>
      </c>
      <c r="D106" s="51">
        <v>596109.22</v>
      </c>
      <c r="E106" s="51">
        <v>29437492.140000001</v>
      </c>
      <c r="F106" s="51">
        <v>3375670.03</v>
      </c>
      <c r="G106" s="51">
        <v>76158.25</v>
      </c>
      <c r="H106" s="51">
        <v>982180.84</v>
      </c>
      <c r="I106" s="51">
        <v>17954387.370000001</v>
      </c>
      <c r="J106" s="51">
        <v>6314335.3600000003</v>
      </c>
      <c r="K106" s="128">
        <f t="shared" si="2"/>
        <v>79075116.820000008</v>
      </c>
    </row>
    <row r="107" spans="1:11" x14ac:dyDescent="0.35">
      <c r="A107" s="7">
        <v>43374</v>
      </c>
      <c r="B107" s="128">
        <v>23898949.170000002</v>
      </c>
      <c r="C107" s="50">
        <v>1090613.57</v>
      </c>
      <c r="D107" s="51">
        <v>654622.5</v>
      </c>
      <c r="E107" s="51">
        <v>31007456.91</v>
      </c>
      <c r="F107" s="51">
        <v>3132951.91</v>
      </c>
      <c r="G107" s="51">
        <v>112341.61</v>
      </c>
      <c r="H107" s="51">
        <v>1082054.6200000001</v>
      </c>
      <c r="I107" s="51">
        <v>18117399.879999999</v>
      </c>
      <c r="J107" s="51">
        <v>7177907.6899999995</v>
      </c>
      <c r="K107" s="128">
        <f t="shared" si="2"/>
        <v>86274297.859999999</v>
      </c>
    </row>
    <row r="108" spans="1:11" x14ac:dyDescent="0.35">
      <c r="A108" s="7">
        <v>43405</v>
      </c>
      <c r="B108" s="128">
        <v>22978061.940000001</v>
      </c>
      <c r="C108" s="50">
        <v>957470.42</v>
      </c>
      <c r="D108" s="51">
        <v>697096.31</v>
      </c>
      <c r="E108" s="51">
        <v>35057111.219999999</v>
      </c>
      <c r="F108" s="51">
        <v>3249211.7</v>
      </c>
      <c r="G108" s="51">
        <v>61305.58</v>
      </c>
      <c r="H108" s="51">
        <v>1147389.42</v>
      </c>
      <c r="I108" s="51">
        <v>18170188.07</v>
      </c>
      <c r="J108" s="51">
        <v>5564112.9000000004</v>
      </c>
      <c r="K108" s="128">
        <f t="shared" si="2"/>
        <v>87881947.560000002</v>
      </c>
    </row>
    <row r="109" spans="1:11" ht="15" thickBot="1" x14ac:dyDescent="0.4">
      <c r="A109" s="15">
        <v>43435</v>
      </c>
      <c r="B109" s="190">
        <v>24468160.719999999</v>
      </c>
      <c r="C109" s="191">
        <v>1024213.72</v>
      </c>
      <c r="D109" s="192">
        <v>1034579.74</v>
      </c>
      <c r="E109" s="192">
        <v>35523084.560000002</v>
      </c>
      <c r="F109" s="192">
        <v>4537539.91</v>
      </c>
      <c r="G109" s="192">
        <v>147853.95000000001</v>
      </c>
      <c r="H109" s="192">
        <v>1329172.47</v>
      </c>
      <c r="I109" s="192">
        <v>23106339.460000001</v>
      </c>
      <c r="J109" s="192">
        <v>5210847.58</v>
      </c>
      <c r="K109" s="190">
        <f t="shared" si="2"/>
        <v>96381792.109999999</v>
      </c>
    </row>
    <row r="110" spans="1:11" x14ac:dyDescent="0.35">
      <c r="A110" s="7">
        <v>43484</v>
      </c>
      <c r="B110" s="128">
        <v>21131965.329999998</v>
      </c>
      <c r="C110" s="50">
        <v>1043428.19</v>
      </c>
      <c r="D110" s="51">
        <v>663153.63</v>
      </c>
      <c r="E110" s="51">
        <v>32698741.25</v>
      </c>
      <c r="F110" s="51">
        <v>2970561.13</v>
      </c>
      <c r="G110" s="51">
        <v>287453.09000000003</v>
      </c>
      <c r="H110" s="51">
        <v>1525217.14</v>
      </c>
      <c r="I110" s="51">
        <v>18186674.170000002</v>
      </c>
      <c r="J110" s="51">
        <v>5267793.95</v>
      </c>
      <c r="K110" s="127">
        <f t="shared" si="2"/>
        <v>83774987.88000001</v>
      </c>
    </row>
    <row r="111" spans="1:11" x14ac:dyDescent="0.35">
      <c r="A111" s="7">
        <v>43515</v>
      </c>
      <c r="B111" s="128">
        <v>21309604.789999999</v>
      </c>
      <c r="C111" s="50">
        <v>947343.04</v>
      </c>
      <c r="D111" s="51">
        <v>690112.76</v>
      </c>
      <c r="E111" s="51">
        <v>31524192.890000001</v>
      </c>
      <c r="F111" s="51">
        <v>3080134.42</v>
      </c>
      <c r="G111" s="51">
        <v>73720.27</v>
      </c>
      <c r="H111" s="51">
        <v>1561002.04</v>
      </c>
      <c r="I111" s="51">
        <v>16470297</v>
      </c>
      <c r="J111" s="51">
        <v>6290533.9900000002</v>
      </c>
      <c r="K111" s="128">
        <f t="shared" si="2"/>
        <v>81946941.200000003</v>
      </c>
    </row>
    <row r="112" spans="1:11" x14ac:dyDescent="0.35">
      <c r="A112" s="7">
        <v>43543</v>
      </c>
      <c r="B112" s="128">
        <v>23597675.379999999</v>
      </c>
      <c r="C112" s="50">
        <v>939446.26</v>
      </c>
      <c r="D112" s="51">
        <v>769461.97</v>
      </c>
      <c r="E112" s="51">
        <v>35926960.049999997</v>
      </c>
      <c r="F112" s="51">
        <v>3641027.08</v>
      </c>
      <c r="G112" s="51">
        <v>86898.38</v>
      </c>
      <c r="H112" s="51">
        <v>1414283.71</v>
      </c>
      <c r="I112" s="51">
        <v>18494538.629999999</v>
      </c>
      <c r="J112" s="51">
        <v>7035978.4500000002</v>
      </c>
      <c r="K112" s="128">
        <v>91906269.909999996</v>
      </c>
    </row>
    <row r="113" spans="1:11" x14ac:dyDescent="0.35">
      <c r="A113" s="7">
        <v>43574</v>
      </c>
      <c r="B113" s="128">
        <v>22169600.66</v>
      </c>
      <c r="C113" s="50">
        <v>1193861.82</v>
      </c>
      <c r="D113" s="51">
        <v>849392.33</v>
      </c>
      <c r="E113" s="51">
        <v>32073482.190000001</v>
      </c>
      <c r="F113" s="51">
        <v>3519251.65</v>
      </c>
      <c r="G113" s="51">
        <v>83222.84</v>
      </c>
      <c r="H113" s="51">
        <v>1053402.1000000001</v>
      </c>
      <c r="I113" s="51">
        <v>17262747.260000002</v>
      </c>
      <c r="J113" s="51">
        <v>6484997.9699999997</v>
      </c>
      <c r="K113" s="128">
        <f t="shared" si="2"/>
        <v>84689958.820000008</v>
      </c>
    </row>
    <row r="114" spans="1:11" x14ac:dyDescent="0.35">
      <c r="A114" s="7">
        <v>43604</v>
      </c>
      <c r="B114" s="128">
        <v>22851635.609999999</v>
      </c>
      <c r="C114" s="50">
        <v>964174.39</v>
      </c>
      <c r="D114" s="51">
        <v>765689.34</v>
      </c>
      <c r="E114" s="51">
        <v>34602266.369999997</v>
      </c>
      <c r="F114" s="51">
        <v>3719225.97</v>
      </c>
      <c r="G114" s="51">
        <v>91685.02</v>
      </c>
      <c r="H114" s="51">
        <v>1326080.29</v>
      </c>
      <c r="I114" s="51">
        <v>18663675.84</v>
      </c>
      <c r="J114" s="51">
        <f>4974592.15+1503080.45</f>
        <v>6477672.6000000006</v>
      </c>
      <c r="K114" s="128">
        <f t="shared" si="2"/>
        <v>89462105.429999992</v>
      </c>
    </row>
    <row r="115" spans="1:11" x14ac:dyDescent="0.35">
      <c r="A115" s="7">
        <v>43635</v>
      </c>
      <c r="B115" s="128">
        <v>22094928.440000001</v>
      </c>
      <c r="C115" s="50">
        <v>911888.32</v>
      </c>
      <c r="D115" s="51">
        <v>635966.88</v>
      </c>
      <c r="E115" s="51">
        <v>33232589</v>
      </c>
      <c r="F115" s="51">
        <v>3202125.12</v>
      </c>
      <c r="G115" s="51">
        <v>102267.13</v>
      </c>
      <c r="H115" s="51">
        <v>1081983.95</v>
      </c>
      <c r="I115" s="51">
        <v>18045740.890000001</v>
      </c>
      <c r="J115" s="51">
        <v>6353204.54</v>
      </c>
      <c r="K115" s="128">
        <f t="shared" si="2"/>
        <v>85660694.270000011</v>
      </c>
    </row>
    <row r="116" spans="1:11" x14ac:dyDescent="0.35">
      <c r="A116" s="7">
        <v>43665</v>
      </c>
      <c r="B116" s="129">
        <v>22002933.120000001</v>
      </c>
      <c r="C116" s="129">
        <v>1086578.9099999999</v>
      </c>
      <c r="D116" s="129">
        <v>587588.57999999996</v>
      </c>
      <c r="E116" s="129">
        <v>33325964.949999999</v>
      </c>
      <c r="F116" s="129">
        <v>2995895.62</v>
      </c>
      <c r="G116" s="129">
        <v>97506.21</v>
      </c>
      <c r="H116" s="129">
        <v>1093278.29</v>
      </c>
      <c r="I116" s="129">
        <v>18669950.02</v>
      </c>
      <c r="J116" s="193">
        <f>4209324.88+1494274.5</f>
        <v>5703599.3799999999</v>
      </c>
      <c r="K116" s="128">
        <f t="shared" si="2"/>
        <v>85563295.079999998</v>
      </c>
    </row>
    <row r="117" spans="1:11" x14ac:dyDescent="0.35">
      <c r="A117" s="7">
        <v>43696</v>
      </c>
      <c r="B117" s="128">
        <v>22855515.969999999</v>
      </c>
      <c r="C117" s="50">
        <v>901422.64</v>
      </c>
      <c r="D117" s="51">
        <v>617409.94999999995</v>
      </c>
      <c r="E117" s="51">
        <v>36270147.380000003</v>
      </c>
      <c r="F117" s="51">
        <v>3221145.92</v>
      </c>
      <c r="G117" s="51">
        <v>107245.62</v>
      </c>
      <c r="H117" s="51">
        <v>1031824.51</v>
      </c>
      <c r="I117" s="51">
        <v>17186682.949999999</v>
      </c>
      <c r="J117" s="51">
        <v>5501978.3799999999</v>
      </c>
      <c r="K117" s="128">
        <f t="shared" si="2"/>
        <v>87693373.319999993</v>
      </c>
    </row>
    <row r="118" spans="1:11" x14ac:dyDescent="0.35">
      <c r="A118" s="7">
        <v>43727</v>
      </c>
      <c r="B118" s="129">
        <v>21162649.23</v>
      </c>
      <c r="C118" s="129">
        <v>888316.56</v>
      </c>
      <c r="D118" s="129">
        <v>586457.72</v>
      </c>
      <c r="E118" s="129">
        <v>32578868.579999998</v>
      </c>
      <c r="F118" s="129">
        <v>3534869.62</v>
      </c>
      <c r="G118" s="129">
        <v>102642.74</v>
      </c>
      <c r="H118" s="129">
        <v>1277176.01</v>
      </c>
      <c r="I118" s="129">
        <v>16950459.489999998</v>
      </c>
      <c r="J118" s="129">
        <f>5142796.7+2123868.42</f>
        <v>7266665.1200000001</v>
      </c>
      <c r="K118" s="128">
        <f t="shared" si="2"/>
        <v>84348105.069999993</v>
      </c>
    </row>
    <row r="119" spans="1:11" x14ac:dyDescent="0.35">
      <c r="A119" s="7">
        <v>43757</v>
      </c>
      <c r="B119" s="127">
        <v>25441758.050000001</v>
      </c>
      <c r="C119" s="48">
        <v>1037388.86</v>
      </c>
      <c r="D119" s="49">
        <v>635577.55000000005</v>
      </c>
      <c r="E119" s="49">
        <v>31823793.780000001</v>
      </c>
      <c r="F119" s="49">
        <v>3331973.75</v>
      </c>
      <c r="G119" s="49">
        <v>93882.25</v>
      </c>
      <c r="H119" s="49">
        <v>1052169.72</v>
      </c>
      <c r="I119" s="49">
        <v>18804920.260000002</v>
      </c>
      <c r="J119" s="49">
        <v>6360230.5499999998</v>
      </c>
      <c r="K119" s="127">
        <f t="shared" si="2"/>
        <v>88581694.769999996</v>
      </c>
    </row>
    <row r="120" spans="1:11" x14ac:dyDescent="0.35">
      <c r="A120" s="7">
        <v>43788</v>
      </c>
      <c r="B120" s="128">
        <v>24035371.699999999</v>
      </c>
      <c r="C120" s="50">
        <v>833546.26</v>
      </c>
      <c r="D120" s="51">
        <v>746014.73</v>
      </c>
      <c r="E120" s="51">
        <v>31708927.829999998</v>
      </c>
      <c r="F120" s="51">
        <v>3324457.65</v>
      </c>
      <c r="G120" s="51">
        <v>82901.77</v>
      </c>
      <c r="H120" s="51">
        <v>1168193.67</v>
      </c>
      <c r="I120" s="51">
        <v>17672968.199999999</v>
      </c>
      <c r="J120" s="51">
        <v>5776812.2399999993</v>
      </c>
      <c r="K120" s="128">
        <f t="shared" si="2"/>
        <v>85349194.049999997</v>
      </c>
    </row>
    <row r="121" spans="1:11" ht="15" thickBot="1" x14ac:dyDescent="0.4">
      <c r="A121" s="15">
        <v>43818</v>
      </c>
      <c r="B121" s="190">
        <v>25584041.280000001</v>
      </c>
      <c r="C121" s="191">
        <v>897599.02</v>
      </c>
      <c r="D121" s="192">
        <v>940546.94</v>
      </c>
      <c r="E121" s="192">
        <v>36706241.049999997</v>
      </c>
      <c r="F121" s="192">
        <v>3933335.59</v>
      </c>
      <c r="G121" s="192">
        <v>82986.02</v>
      </c>
      <c r="H121" s="192">
        <v>1619914.88</v>
      </c>
      <c r="I121" s="192">
        <v>22703364.100000001</v>
      </c>
      <c r="J121" s="192">
        <f>5061489.38+2500011.59</f>
        <v>7561500.9699999997</v>
      </c>
      <c r="K121" s="190">
        <f t="shared" si="2"/>
        <v>100029529.84999999</v>
      </c>
    </row>
    <row r="122" spans="1:11" x14ac:dyDescent="0.35">
      <c r="A122" s="7">
        <v>43849</v>
      </c>
      <c r="B122" s="173">
        <v>21840720.350000001</v>
      </c>
      <c r="C122" s="173">
        <v>1005367.64</v>
      </c>
      <c r="D122" s="173">
        <v>623549.9</v>
      </c>
      <c r="E122" s="173">
        <v>35718366.950000003</v>
      </c>
      <c r="F122" s="173">
        <v>2943756.64</v>
      </c>
      <c r="G122" s="173">
        <v>100132.89</v>
      </c>
      <c r="H122" s="173">
        <v>1436372.71</v>
      </c>
      <c r="I122" s="173">
        <v>19027630.23</v>
      </c>
      <c r="J122" s="173">
        <v>6817744.5800000001</v>
      </c>
      <c r="K122" s="173">
        <f>SUM(B122:J122)</f>
        <v>89513641.890000001</v>
      </c>
    </row>
    <row r="123" spans="1:11" x14ac:dyDescent="0.35">
      <c r="A123" s="7">
        <v>43880</v>
      </c>
      <c r="B123" s="128">
        <v>22089585.449999999</v>
      </c>
      <c r="C123" s="128">
        <v>849415.7</v>
      </c>
      <c r="D123" s="128">
        <v>734789.15</v>
      </c>
      <c r="E123" s="128">
        <v>30382313.460000001</v>
      </c>
      <c r="F123" s="128">
        <v>2405150.6800000002</v>
      </c>
      <c r="G123" s="128">
        <v>40134.06</v>
      </c>
      <c r="H123" s="128">
        <v>1737508.59</v>
      </c>
      <c r="I123" s="128">
        <v>16859513.68</v>
      </c>
      <c r="J123" s="128">
        <v>6816956.0499999998</v>
      </c>
      <c r="K123" s="128">
        <f>SUM(B123:J123)</f>
        <v>81915366.820000008</v>
      </c>
    </row>
    <row r="124" spans="1:11" x14ac:dyDescent="0.35">
      <c r="A124" s="7">
        <v>43909</v>
      </c>
      <c r="B124" s="128">
        <v>26997901.870000001</v>
      </c>
      <c r="C124" s="128">
        <v>1046748.87</v>
      </c>
      <c r="D124" s="128">
        <v>981113.1</v>
      </c>
      <c r="E124" s="128">
        <v>22915415.559999999</v>
      </c>
      <c r="F124" s="128">
        <v>2048621.65</v>
      </c>
      <c r="G124" s="128">
        <v>128775.73</v>
      </c>
      <c r="H124" s="128">
        <v>863410.81</v>
      </c>
      <c r="I124" s="128">
        <v>17971871.73</v>
      </c>
      <c r="J124" s="128">
        <v>5970983.2699999996</v>
      </c>
      <c r="K124" s="128">
        <f>SUM(B124:J124)</f>
        <v>78924842.590000004</v>
      </c>
    </row>
    <row r="125" spans="1:11" x14ac:dyDescent="0.35">
      <c r="A125" s="7">
        <v>43940</v>
      </c>
      <c r="B125" s="128">
        <v>24927915.960000001</v>
      </c>
      <c r="C125" s="128">
        <v>1113733.71</v>
      </c>
      <c r="D125" s="128">
        <v>504695.12</v>
      </c>
      <c r="E125" s="128">
        <v>21935871.25</v>
      </c>
      <c r="F125" s="128">
        <v>1528018.86</v>
      </c>
      <c r="G125" s="128">
        <v>29161.77</v>
      </c>
      <c r="H125" s="128">
        <v>619119.5</v>
      </c>
      <c r="I125" s="128">
        <v>17606839.32</v>
      </c>
      <c r="J125" s="128">
        <v>4529099.01</v>
      </c>
      <c r="K125" s="128">
        <f>SUM(B125:J125)</f>
        <v>72794454.500000015</v>
      </c>
    </row>
    <row r="126" spans="1:11" x14ac:dyDescent="0.35">
      <c r="A126" s="7">
        <v>43970</v>
      </c>
      <c r="B126" s="128">
        <v>26528016.32</v>
      </c>
      <c r="C126" s="128">
        <v>1106590.76</v>
      </c>
      <c r="D126" s="128">
        <v>993418.68</v>
      </c>
      <c r="E126" s="128">
        <v>27085570.149999999</v>
      </c>
      <c r="F126" s="128">
        <v>2623492.0299999998</v>
      </c>
      <c r="G126" s="128">
        <v>69700.740000000005</v>
      </c>
      <c r="H126" s="128">
        <v>844491.44</v>
      </c>
      <c r="I126" s="128">
        <v>16990181.829999998</v>
      </c>
      <c r="J126" s="128">
        <v>5033943.29</v>
      </c>
      <c r="K126" s="128">
        <f>SUM(B126:J126)</f>
        <v>81275405.239999995</v>
      </c>
    </row>
    <row r="127" spans="1:11" x14ac:dyDescent="0.35">
      <c r="A127" s="7">
        <v>44001</v>
      </c>
      <c r="B127" s="128">
        <v>25224012.5</v>
      </c>
      <c r="C127" s="128">
        <v>1004192.13</v>
      </c>
      <c r="D127" s="128">
        <v>873530.59</v>
      </c>
      <c r="E127" s="128">
        <v>33652427.060000002</v>
      </c>
      <c r="F127" s="128">
        <v>2642762.02</v>
      </c>
      <c r="G127" s="128">
        <v>70830.509999999995</v>
      </c>
      <c r="H127" s="128">
        <v>985852.94</v>
      </c>
      <c r="I127" s="128">
        <v>18741300.440000001</v>
      </c>
      <c r="J127" s="128">
        <v>7489235.8300000001</v>
      </c>
      <c r="K127" s="128">
        <f t="shared" si="2"/>
        <v>90684144.019999996</v>
      </c>
    </row>
    <row r="128" spans="1:11" x14ac:dyDescent="0.35">
      <c r="A128" s="7">
        <v>44031</v>
      </c>
      <c r="B128" s="128">
        <v>25734035.390000001</v>
      </c>
      <c r="C128" s="128">
        <v>1211564.3999999999</v>
      </c>
      <c r="D128" s="128">
        <v>678134.92</v>
      </c>
      <c r="E128" s="128">
        <v>30615595.440000001</v>
      </c>
      <c r="F128" s="128">
        <v>1947311.09</v>
      </c>
      <c r="G128" s="128">
        <v>24806.93</v>
      </c>
      <c r="H128" s="128">
        <v>939179.09</v>
      </c>
      <c r="I128" s="128">
        <v>17704303.059999999</v>
      </c>
      <c r="J128" s="128">
        <v>6974174.5</v>
      </c>
      <c r="K128" s="128">
        <f t="shared" si="2"/>
        <v>85829104.820000008</v>
      </c>
    </row>
    <row r="129" spans="1:11" x14ac:dyDescent="0.35">
      <c r="A129" s="7">
        <v>44062</v>
      </c>
      <c r="B129" s="128">
        <v>28094002.379999999</v>
      </c>
      <c r="C129" s="128">
        <v>1114078.1200000001</v>
      </c>
      <c r="D129" s="128">
        <v>723619.9</v>
      </c>
      <c r="E129" s="128">
        <v>29468134</v>
      </c>
      <c r="F129" s="128">
        <v>1971038.82</v>
      </c>
      <c r="G129" s="128">
        <v>28794.22</v>
      </c>
      <c r="H129" s="128">
        <v>904318.19</v>
      </c>
      <c r="I129" s="128">
        <v>15618171.32</v>
      </c>
      <c r="J129" s="128">
        <v>7486070.5700000003</v>
      </c>
      <c r="K129" s="128">
        <f t="shared" si="2"/>
        <v>85408227.519999981</v>
      </c>
    </row>
    <row r="130" spans="1:11" x14ac:dyDescent="0.35">
      <c r="A130" s="7">
        <v>44093</v>
      </c>
      <c r="B130" s="128">
        <v>25755410.100000001</v>
      </c>
      <c r="C130" s="128">
        <v>1007944.48</v>
      </c>
      <c r="D130" s="128">
        <v>720850.51</v>
      </c>
      <c r="E130" s="128">
        <v>33098999.859999999</v>
      </c>
      <c r="F130" s="128">
        <v>2486308.12</v>
      </c>
      <c r="G130" s="128">
        <v>39236.400000000001</v>
      </c>
      <c r="H130" s="128">
        <v>1077911.1399999999</v>
      </c>
      <c r="I130" s="128">
        <v>18804687.73</v>
      </c>
      <c r="J130" s="128">
        <v>9674539.7599999998</v>
      </c>
      <c r="K130" s="128">
        <f t="shared" si="2"/>
        <v>92665888.100000009</v>
      </c>
    </row>
    <row r="131" spans="1:11" x14ac:dyDescent="0.35">
      <c r="A131" s="7">
        <v>44123</v>
      </c>
      <c r="B131" s="128">
        <v>23322316.609999999</v>
      </c>
      <c r="C131" s="128">
        <v>1151744.3400000001</v>
      </c>
      <c r="D131" s="128">
        <v>684993.25</v>
      </c>
      <c r="E131" s="128">
        <v>32716815.140000001</v>
      </c>
      <c r="F131" s="128">
        <v>2235177.5499999998</v>
      </c>
      <c r="G131" s="128">
        <v>33694.730000000003</v>
      </c>
      <c r="H131" s="128">
        <v>1420536.64</v>
      </c>
      <c r="I131" s="128">
        <v>16207207.119999999</v>
      </c>
      <c r="J131" s="128">
        <v>7366571.7799999993</v>
      </c>
      <c r="K131" s="128">
        <f t="shared" si="2"/>
        <v>85139057.159999996</v>
      </c>
    </row>
    <row r="132" spans="1:11" x14ac:dyDescent="0.35">
      <c r="A132" s="7">
        <v>44154</v>
      </c>
      <c r="B132" s="128">
        <v>24856228.280000001</v>
      </c>
      <c r="C132" s="128">
        <v>1137959.19</v>
      </c>
      <c r="D132" s="128">
        <v>876010.57</v>
      </c>
      <c r="E132" s="128">
        <v>29884949.719999999</v>
      </c>
      <c r="F132" s="128">
        <v>2407793.54</v>
      </c>
      <c r="G132" s="128">
        <v>32409.01</v>
      </c>
      <c r="H132" s="128">
        <v>1075754.49</v>
      </c>
      <c r="I132" s="128">
        <v>16819186.109999999</v>
      </c>
      <c r="J132" s="128">
        <v>8481929.7400000002</v>
      </c>
      <c r="K132" s="128">
        <f t="shared" si="2"/>
        <v>85572220.649999991</v>
      </c>
    </row>
    <row r="133" spans="1:11" ht="15" thickBot="1" x14ac:dyDescent="0.4">
      <c r="A133" s="15">
        <v>44184</v>
      </c>
      <c r="B133" s="190">
        <v>27296088.539999999</v>
      </c>
      <c r="C133" s="190">
        <v>1031680.92</v>
      </c>
      <c r="D133" s="190">
        <v>1082018.76</v>
      </c>
      <c r="E133" s="190">
        <v>35457150.530000001</v>
      </c>
      <c r="F133" s="190">
        <v>2662854.69</v>
      </c>
      <c r="G133" s="190">
        <v>29947.34</v>
      </c>
      <c r="H133" s="190">
        <v>1631304.99</v>
      </c>
      <c r="I133" s="190">
        <v>22059039.289999999</v>
      </c>
      <c r="J133" s="190">
        <v>11557693.170000002</v>
      </c>
      <c r="K133" s="190">
        <f t="shared" si="2"/>
        <v>102807778.23</v>
      </c>
    </row>
    <row r="134" spans="1:11" x14ac:dyDescent="0.35">
      <c r="A134" s="53">
        <v>44215</v>
      </c>
      <c r="B134" s="134">
        <v>24179316.699999999</v>
      </c>
      <c r="C134" s="134">
        <v>1264294.71</v>
      </c>
      <c r="D134" s="134">
        <v>883275.93</v>
      </c>
      <c r="E134" s="134">
        <v>32506589.710000001</v>
      </c>
      <c r="F134" s="134">
        <v>2164920.7799999998</v>
      </c>
      <c r="G134" s="134">
        <v>32937.18</v>
      </c>
      <c r="H134" s="134">
        <v>1510282.53</v>
      </c>
      <c r="I134" s="134">
        <v>15358541.289999999</v>
      </c>
      <c r="J134" s="134">
        <f>3857785.64+3587297.25</f>
        <v>7445082.8900000006</v>
      </c>
      <c r="K134" s="173">
        <f>SUM(B134:J134)</f>
        <v>85345241.719999999</v>
      </c>
    </row>
    <row r="135" spans="1:11" x14ac:dyDescent="0.35">
      <c r="A135" s="7">
        <v>44246</v>
      </c>
      <c r="B135" s="128">
        <v>23526789.57</v>
      </c>
      <c r="C135" s="128">
        <v>1078113.29</v>
      </c>
      <c r="D135" s="128">
        <v>781804.18</v>
      </c>
      <c r="E135" s="128">
        <v>30480174.239999998</v>
      </c>
      <c r="F135" s="128">
        <v>2123539.65</v>
      </c>
      <c r="G135" s="128">
        <v>139200.54999999999</v>
      </c>
      <c r="H135" s="128">
        <v>1454652.05</v>
      </c>
      <c r="I135" s="128">
        <v>14466126</v>
      </c>
      <c r="J135" s="128">
        <v>9221265.5299999993</v>
      </c>
      <c r="K135" s="128">
        <f>SUM(B135:J135)</f>
        <v>83271665.060000002</v>
      </c>
    </row>
    <row r="136" spans="1:11" x14ac:dyDescent="0.35">
      <c r="A136" s="7">
        <v>44274</v>
      </c>
      <c r="B136" s="128">
        <v>25835549.059999999</v>
      </c>
      <c r="C136" s="128">
        <v>1202078.5889999999</v>
      </c>
      <c r="D136" s="128">
        <v>1071353.6299999999</v>
      </c>
      <c r="E136" s="128">
        <v>39555544.469999999</v>
      </c>
      <c r="F136" s="128">
        <v>2525267.5699999998</v>
      </c>
      <c r="G136" s="128">
        <v>109752.49</v>
      </c>
      <c r="H136" s="128">
        <v>1270853.7</v>
      </c>
      <c r="I136" s="128">
        <v>18902261.32</v>
      </c>
      <c r="J136" s="128">
        <v>11107370.279999999</v>
      </c>
      <c r="K136" s="128">
        <f>SUM(B136:J136)</f>
        <v>101580031.109</v>
      </c>
    </row>
    <row r="137" spans="1:11" x14ac:dyDescent="0.35">
      <c r="A137" s="7">
        <v>44305</v>
      </c>
      <c r="B137" s="128">
        <v>25803816.079999998</v>
      </c>
      <c r="C137" s="128">
        <v>1189250.9099999999</v>
      </c>
      <c r="D137" s="128">
        <v>913424.07</v>
      </c>
      <c r="E137" s="128">
        <v>41126414.399999999</v>
      </c>
      <c r="F137" s="128">
        <v>2624718.91</v>
      </c>
      <c r="G137" s="128">
        <v>121941.06</v>
      </c>
      <c r="H137" s="128">
        <v>1464830.85</v>
      </c>
      <c r="I137" s="128">
        <v>15283413.710000001</v>
      </c>
      <c r="J137" s="128">
        <v>9276124.7100000009</v>
      </c>
      <c r="K137" s="128">
        <f>SUM(B137:J137)</f>
        <v>97803934.699999988</v>
      </c>
    </row>
    <row r="138" spans="1:11" x14ac:dyDescent="0.35">
      <c r="A138" s="7">
        <v>44335</v>
      </c>
      <c r="B138" s="128">
        <v>26758359.379999999</v>
      </c>
      <c r="C138" s="128">
        <v>1033262.3</v>
      </c>
      <c r="D138" s="128">
        <v>899790.19</v>
      </c>
      <c r="E138" s="128">
        <v>38974296.210000001</v>
      </c>
      <c r="F138" s="128">
        <v>2937631.08</v>
      </c>
      <c r="G138" s="128">
        <v>92828.75</v>
      </c>
      <c r="H138" s="128">
        <v>1437502.87</v>
      </c>
      <c r="I138" s="128">
        <v>16017411.560000001</v>
      </c>
      <c r="J138" s="128">
        <v>9301721.4199999999</v>
      </c>
      <c r="K138" s="128">
        <v>97452803.760000005</v>
      </c>
    </row>
    <row r="139" spans="1:11" x14ac:dyDescent="0.35">
      <c r="A139" s="7">
        <v>44366</v>
      </c>
      <c r="B139" s="128">
        <v>28417853.920000002</v>
      </c>
      <c r="C139" s="128">
        <v>1010778.33</v>
      </c>
      <c r="D139" s="128">
        <v>774661.27</v>
      </c>
      <c r="E139" s="128">
        <v>38481522.399999999</v>
      </c>
      <c r="F139" s="128">
        <v>2517976</v>
      </c>
      <c r="G139" s="128">
        <v>29227.9</v>
      </c>
      <c r="H139" s="128">
        <v>1175517.43</v>
      </c>
      <c r="I139" s="128">
        <v>18470572.859999999</v>
      </c>
      <c r="J139" s="128">
        <v>10952944.109999999</v>
      </c>
      <c r="K139" s="128">
        <f t="shared" ref="K139:K145" si="3">SUM(B139:J139)</f>
        <v>101831054.22000001</v>
      </c>
    </row>
    <row r="140" spans="1:11" x14ac:dyDescent="0.35">
      <c r="A140" s="7">
        <v>44396</v>
      </c>
      <c r="B140" s="128">
        <v>25779141.52</v>
      </c>
      <c r="C140" s="128">
        <v>1140566.26</v>
      </c>
      <c r="D140" s="128">
        <v>633327.77</v>
      </c>
      <c r="E140" s="128">
        <v>38941131.950000003</v>
      </c>
      <c r="F140" s="128">
        <v>3369701.65</v>
      </c>
      <c r="G140" s="128">
        <v>28499.08</v>
      </c>
      <c r="H140" s="128">
        <v>1085434.24</v>
      </c>
      <c r="I140" s="128">
        <v>14795412.800000001</v>
      </c>
      <c r="J140" s="128">
        <v>8607252.6699999999</v>
      </c>
      <c r="K140" s="128">
        <f t="shared" si="3"/>
        <v>94380467.939999998</v>
      </c>
    </row>
    <row r="141" spans="1:11" x14ac:dyDescent="0.35">
      <c r="A141" s="7">
        <v>44427</v>
      </c>
      <c r="B141" s="128">
        <v>26149777.57</v>
      </c>
      <c r="C141" s="128">
        <v>977742.89</v>
      </c>
      <c r="D141" s="128">
        <v>813066.23</v>
      </c>
      <c r="E141" s="128">
        <v>33677284.960000001</v>
      </c>
      <c r="F141" s="128">
        <v>2894461.55</v>
      </c>
      <c r="G141" s="128">
        <v>61789.24</v>
      </c>
      <c r="H141" s="128">
        <v>1216787.01</v>
      </c>
      <c r="I141" s="128">
        <v>14501724.75</v>
      </c>
      <c r="J141" s="128">
        <v>8475419.6799999997</v>
      </c>
      <c r="K141" s="128">
        <f t="shared" si="3"/>
        <v>88768053.879999995</v>
      </c>
    </row>
    <row r="142" spans="1:11" x14ac:dyDescent="0.35">
      <c r="A142" s="7">
        <v>44458</v>
      </c>
      <c r="B142" s="128">
        <v>27678604.370000001</v>
      </c>
      <c r="C142" s="128">
        <v>1003075.05</v>
      </c>
      <c r="D142" s="128">
        <v>784216.83</v>
      </c>
      <c r="E142" s="128">
        <v>36768261.939999998</v>
      </c>
      <c r="F142" s="128">
        <v>2991233.27</v>
      </c>
      <c r="G142" s="128">
        <v>125536.1</v>
      </c>
      <c r="H142" s="128">
        <v>1100207.03</v>
      </c>
      <c r="I142" s="128">
        <v>17876374.809999999</v>
      </c>
      <c r="J142" s="128">
        <v>9829787.9299999997</v>
      </c>
      <c r="K142" s="128">
        <f t="shared" si="3"/>
        <v>98157297.329999983</v>
      </c>
    </row>
    <row r="143" spans="1:11" x14ac:dyDescent="0.35">
      <c r="A143" s="7">
        <v>44488</v>
      </c>
      <c r="B143" s="128">
        <v>29184229.199999999</v>
      </c>
      <c r="C143" s="128">
        <v>1169041.33</v>
      </c>
      <c r="D143" s="128">
        <v>808174.15</v>
      </c>
      <c r="E143" s="128">
        <v>39798286.509999998</v>
      </c>
      <c r="F143" s="128">
        <v>2808237.91</v>
      </c>
      <c r="G143" s="128">
        <v>124854.06</v>
      </c>
      <c r="H143" s="128">
        <v>1199847.3400000001</v>
      </c>
      <c r="I143" s="128">
        <v>16006567.060000001</v>
      </c>
      <c r="J143" s="128">
        <v>10339267.23</v>
      </c>
      <c r="K143" s="128">
        <f t="shared" si="3"/>
        <v>101438504.79000001</v>
      </c>
    </row>
    <row r="144" spans="1:11" x14ac:dyDescent="0.35">
      <c r="A144" s="7">
        <v>44519</v>
      </c>
      <c r="B144" s="128">
        <v>27195702.949999999</v>
      </c>
      <c r="C144" s="128">
        <v>996978.47</v>
      </c>
      <c r="D144" s="128">
        <v>907061.15</v>
      </c>
      <c r="E144" s="128">
        <v>35433629.600000001</v>
      </c>
      <c r="F144" s="128">
        <v>3499197.61</v>
      </c>
      <c r="G144" s="128">
        <v>78402.92</v>
      </c>
      <c r="H144" s="128">
        <v>1176413.28</v>
      </c>
      <c r="I144" s="128">
        <v>16780627.920000002</v>
      </c>
      <c r="J144" s="128">
        <v>10138303.370000001</v>
      </c>
      <c r="K144" s="128">
        <f t="shared" si="3"/>
        <v>96206317.270000011</v>
      </c>
    </row>
    <row r="145" spans="1:11" ht="15" thickBot="1" x14ac:dyDescent="0.4">
      <c r="A145" s="15">
        <v>44549</v>
      </c>
      <c r="B145" s="190">
        <v>29149379.039999999</v>
      </c>
      <c r="C145" s="190">
        <v>1141492.03</v>
      </c>
      <c r="D145" s="190">
        <v>1195578.54</v>
      </c>
      <c r="E145" s="190">
        <v>42425946.18</v>
      </c>
      <c r="F145" s="190">
        <v>3171602.23</v>
      </c>
      <c r="G145" s="190">
        <v>67437.34</v>
      </c>
      <c r="H145" s="190">
        <v>1705802.69</v>
      </c>
      <c r="I145" s="190">
        <v>23797087.109999999</v>
      </c>
      <c r="J145" s="190">
        <v>11089183.93</v>
      </c>
      <c r="K145" s="190">
        <f t="shared" si="3"/>
        <v>113743509.09</v>
      </c>
    </row>
    <row r="146" spans="1:11" x14ac:dyDescent="0.35">
      <c r="A146" s="53">
        <v>44583</v>
      </c>
      <c r="B146" s="134">
        <v>25575479.41</v>
      </c>
      <c r="C146" s="134">
        <v>1121148.1000000001</v>
      </c>
      <c r="D146" s="134">
        <v>767758.22</v>
      </c>
      <c r="E146" s="134">
        <v>36300670.07</v>
      </c>
      <c r="F146" s="134">
        <v>2384008.6</v>
      </c>
      <c r="G146" s="134">
        <v>114467.18</v>
      </c>
      <c r="H146" s="134">
        <v>1378681.47</v>
      </c>
      <c r="I146" s="134">
        <v>15870077.84</v>
      </c>
      <c r="J146" s="134">
        <v>8596472.0899999999</v>
      </c>
      <c r="K146" s="173">
        <f>SUM(B146:J146)</f>
        <v>92108762.980000004</v>
      </c>
    </row>
    <row r="147" spans="1:11" x14ac:dyDescent="0.35">
      <c r="A147" s="7">
        <v>44614</v>
      </c>
      <c r="B147" s="128">
        <v>27907627.199999999</v>
      </c>
      <c r="C147" s="128">
        <v>993671.96</v>
      </c>
      <c r="D147" s="128">
        <v>815501.52</v>
      </c>
      <c r="E147" s="128">
        <v>37270559.920000002</v>
      </c>
      <c r="F147" s="128">
        <v>2916826.68</v>
      </c>
      <c r="G147" s="128">
        <v>67891.16</v>
      </c>
      <c r="H147" s="128">
        <v>2327076.71</v>
      </c>
      <c r="I147" s="128">
        <v>15809145.73</v>
      </c>
      <c r="J147" s="128">
        <v>9224231.4499999993</v>
      </c>
      <c r="K147" s="128">
        <f>SUM(B147:J147)</f>
        <v>97332532.329999998</v>
      </c>
    </row>
    <row r="148" spans="1:11" x14ac:dyDescent="0.35">
      <c r="A148" s="7">
        <v>44642</v>
      </c>
      <c r="B148" s="128">
        <v>28524999.18</v>
      </c>
      <c r="C148" s="128">
        <v>1002845.67</v>
      </c>
      <c r="D148" s="128">
        <v>1029530.62</v>
      </c>
      <c r="E148" s="128">
        <v>42019812.270000003</v>
      </c>
      <c r="F148" s="128">
        <v>2850719.33</v>
      </c>
      <c r="G148" s="128">
        <v>137283.60999999999</v>
      </c>
      <c r="H148" s="128">
        <v>1593756.35</v>
      </c>
      <c r="I148" s="128">
        <v>18720662.859999999</v>
      </c>
      <c r="J148" s="128">
        <v>12174147.75</v>
      </c>
      <c r="K148" s="128">
        <f>SUM(B148:J148)</f>
        <v>108053757.64</v>
      </c>
    </row>
    <row r="149" spans="1:11" x14ac:dyDescent="0.35">
      <c r="A149" s="7">
        <v>44673</v>
      </c>
      <c r="B149" s="128">
        <v>28472039</v>
      </c>
      <c r="C149" s="128">
        <v>1196742</v>
      </c>
      <c r="D149" s="128">
        <v>1079583</v>
      </c>
      <c r="E149" s="128">
        <v>40467012</v>
      </c>
      <c r="F149" s="128">
        <v>3242891</v>
      </c>
      <c r="G149" s="128">
        <v>84202</v>
      </c>
      <c r="H149" s="128">
        <v>1375363</v>
      </c>
      <c r="I149" s="128">
        <v>16214040</v>
      </c>
      <c r="J149" s="128">
        <v>9368148</v>
      </c>
      <c r="K149" s="128">
        <f>SUM(B149:J149)</f>
        <v>101500020</v>
      </c>
    </row>
    <row r="150" spans="1:11" x14ac:dyDescent="0.35">
      <c r="A150" s="7">
        <v>44703</v>
      </c>
      <c r="B150" s="128">
        <v>28699213.329999998</v>
      </c>
      <c r="C150" s="128">
        <v>1096964.8600000001</v>
      </c>
      <c r="D150" s="128">
        <v>1106408</v>
      </c>
      <c r="E150" s="128">
        <v>42909881</v>
      </c>
      <c r="F150" s="128">
        <v>2859199.45</v>
      </c>
      <c r="G150" s="128">
        <v>107800.24</v>
      </c>
      <c r="H150" s="128">
        <v>1502557.59</v>
      </c>
      <c r="I150" s="128">
        <v>16719845</v>
      </c>
      <c r="J150" s="128">
        <v>9569220</v>
      </c>
      <c r="K150" s="128">
        <f>SUM(B150:J150)</f>
        <v>104571089.47</v>
      </c>
    </row>
    <row r="151" spans="1:11" x14ac:dyDescent="0.35">
      <c r="A151" s="7">
        <v>44734</v>
      </c>
      <c r="B151" s="128">
        <v>27679823</v>
      </c>
      <c r="C151" s="128">
        <v>1039250</v>
      </c>
      <c r="D151" s="128">
        <v>837021</v>
      </c>
      <c r="E151" s="128">
        <v>40996063</v>
      </c>
      <c r="F151" s="128">
        <v>2766207</v>
      </c>
      <c r="G151" s="128">
        <v>69986</v>
      </c>
      <c r="H151" s="128">
        <v>1388390</v>
      </c>
      <c r="I151" s="128">
        <v>18167451</v>
      </c>
      <c r="J151" s="128">
        <v>11761580</v>
      </c>
      <c r="K151" s="128">
        <f t="shared" ref="K151:K157" si="4">SUM(B151:J151)</f>
        <v>104705771</v>
      </c>
    </row>
    <row r="152" spans="1:11" x14ac:dyDescent="0.35">
      <c r="A152" s="7">
        <v>44764</v>
      </c>
      <c r="B152" s="128">
        <v>27249411</v>
      </c>
      <c r="C152" s="128">
        <v>1175849</v>
      </c>
      <c r="D152" s="128">
        <v>897107</v>
      </c>
      <c r="E152" s="128">
        <v>40140774</v>
      </c>
      <c r="F152" s="128">
        <v>2520171</v>
      </c>
      <c r="G152" s="128">
        <v>92105</v>
      </c>
      <c r="H152" s="128">
        <v>1228747</v>
      </c>
      <c r="I152" s="128">
        <v>15964132</v>
      </c>
      <c r="J152" s="128">
        <v>8222680</v>
      </c>
      <c r="K152" s="128">
        <f t="shared" si="4"/>
        <v>97490976</v>
      </c>
    </row>
    <row r="153" spans="1:11" x14ac:dyDescent="0.35">
      <c r="A153" s="7">
        <v>44795</v>
      </c>
      <c r="B153" s="128">
        <v>28368237</v>
      </c>
      <c r="C153" s="128">
        <v>1042685</v>
      </c>
      <c r="D153" s="128">
        <v>804015</v>
      </c>
      <c r="E153" s="128">
        <v>41084373</v>
      </c>
      <c r="F153" s="128">
        <v>2548236</v>
      </c>
      <c r="G153" s="128">
        <v>145566</v>
      </c>
      <c r="H153" s="128">
        <v>1306190</v>
      </c>
      <c r="I153" s="128">
        <v>17141513</v>
      </c>
      <c r="J153" s="128">
        <v>8329748</v>
      </c>
      <c r="K153" s="128">
        <f t="shared" si="4"/>
        <v>100770563</v>
      </c>
    </row>
    <row r="154" spans="1:11" x14ac:dyDescent="0.35">
      <c r="A154" s="7">
        <v>44826</v>
      </c>
      <c r="B154" s="128">
        <v>27555714.809999999</v>
      </c>
      <c r="C154" s="128">
        <v>1004111.25</v>
      </c>
      <c r="D154" s="128">
        <v>710529</v>
      </c>
      <c r="E154" s="128">
        <v>37859956.600000001</v>
      </c>
      <c r="F154" s="128">
        <v>2764870.34</v>
      </c>
      <c r="G154" s="128">
        <v>152671.26999999999</v>
      </c>
      <c r="H154" s="128">
        <v>1335270.1299999999</v>
      </c>
      <c r="I154" s="128">
        <v>17577863.280000001</v>
      </c>
      <c r="J154" s="128">
        <v>9877902.4299999997</v>
      </c>
      <c r="K154" s="128">
        <f t="shared" si="4"/>
        <v>98838889.109999985</v>
      </c>
    </row>
    <row r="155" spans="1:11" x14ac:dyDescent="0.35">
      <c r="A155" s="7">
        <v>44856</v>
      </c>
      <c r="B155" s="128">
        <v>27576550</v>
      </c>
      <c r="C155" s="128">
        <v>1214028</v>
      </c>
      <c r="D155" s="128">
        <v>1174068</v>
      </c>
      <c r="E155" s="128">
        <v>40945839</v>
      </c>
      <c r="F155" s="128">
        <v>2777808</v>
      </c>
      <c r="G155" s="128">
        <v>157752</v>
      </c>
      <c r="H155" s="128">
        <v>1355774</v>
      </c>
      <c r="I155" s="128">
        <v>16800226</v>
      </c>
      <c r="J155" s="128">
        <v>9676171</v>
      </c>
      <c r="K155" s="128">
        <f t="shared" si="4"/>
        <v>101678216</v>
      </c>
    </row>
    <row r="156" spans="1:11" x14ac:dyDescent="0.35">
      <c r="A156" s="7">
        <v>44887</v>
      </c>
      <c r="B156" s="128">
        <v>29355985</v>
      </c>
      <c r="C156" s="128">
        <v>1002956</v>
      </c>
      <c r="D156" s="128">
        <v>1142897</v>
      </c>
      <c r="E156" s="128">
        <v>37624032</v>
      </c>
      <c r="F156" s="128">
        <v>2506193</v>
      </c>
      <c r="G156" s="128">
        <v>79226</v>
      </c>
      <c r="H156" s="128">
        <v>1641698</v>
      </c>
      <c r="I156" s="128">
        <v>18943685</v>
      </c>
      <c r="J156" s="128">
        <v>9753963</v>
      </c>
      <c r="K156" s="128">
        <f t="shared" si="4"/>
        <v>102050635</v>
      </c>
    </row>
    <row r="157" spans="1:11" ht="15" thickBot="1" x14ac:dyDescent="0.4">
      <c r="A157" s="15">
        <v>44917</v>
      </c>
      <c r="B157" s="190">
        <v>32028360</v>
      </c>
      <c r="C157" s="190">
        <v>1301090</v>
      </c>
      <c r="D157" s="190">
        <v>1296087</v>
      </c>
      <c r="E157" s="190">
        <v>46033448</v>
      </c>
      <c r="F157" s="190">
        <v>3224568</v>
      </c>
      <c r="G157" s="190">
        <v>157624</v>
      </c>
      <c r="H157" s="190">
        <v>1772349</v>
      </c>
      <c r="I157" s="190">
        <v>23507095</v>
      </c>
      <c r="J157" s="190">
        <v>12907775</v>
      </c>
      <c r="K157" s="190">
        <f t="shared" si="4"/>
        <v>122228396</v>
      </c>
    </row>
    <row r="158" spans="1:11" x14ac:dyDescent="0.35">
      <c r="A158" s="53">
        <v>44948</v>
      </c>
      <c r="B158" s="134">
        <v>27329115</v>
      </c>
      <c r="C158" s="134">
        <v>1063347</v>
      </c>
      <c r="D158" s="134">
        <v>883364</v>
      </c>
      <c r="E158" s="134">
        <v>39841343</v>
      </c>
      <c r="F158" s="134">
        <v>2452722</v>
      </c>
      <c r="G158" s="134">
        <v>84675</v>
      </c>
      <c r="H158" s="134">
        <v>1887305</v>
      </c>
      <c r="I158" s="134">
        <v>17328308</v>
      </c>
      <c r="J158" s="134">
        <v>8665954</v>
      </c>
      <c r="K158" s="173">
        <f>SUM(B158:J158)</f>
        <v>99536133</v>
      </c>
    </row>
    <row r="159" spans="1:11" x14ac:dyDescent="0.35">
      <c r="A159" s="7">
        <v>44979</v>
      </c>
      <c r="B159" s="128">
        <v>26990739</v>
      </c>
      <c r="C159" s="128">
        <v>1001684</v>
      </c>
      <c r="D159" s="128">
        <v>989557</v>
      </c>
      <c r="E159" s="128">
        <v>38041304</v>
      </c>
      <c r="F159" s="128">
        <v>2508118</v>
      </c>
      <c r="G159" s="128">
        <v>60325</v>
      </c>
      <c r="H159" s="128">
        <v>2448408</v>
      </c>
      <c r="I159" s="128">
        <v>19191556</v>
      </c>
      <c r="J159" s="128">
        <v>10795603</v>
      </c>
      <c r="K159" s="128">
        <f>SUM(B159:J159)</f>
        <v>102027294</v>
      </c>
    </row>
    <row r="160" spans="1:11" x14ac:dyDescent="0.35">
      <c r="A160" s="7">
        <v>45007</v>
      </c>
      <c r="B160" s="128">
        <v>29997371</v>
      </c>
      <c r="C160" s="128">
        <v>1064442</v>
      </c>
      <c r="D160" s="128">
        <v>1068992</v>
      </c>
      <c r="E160" s="128">
        <v>43804848</v>
      </c>
      <c r="F160" s="128">
        <v>2917307</v>
      </c>
      <c r="G160" s="128">
        <v>105888</v>
      </c>
      <c r="H160" s="128">
        <v>1519727</v>
      </c>
      <c r="I160" s="128">
        <v>21449316</v>
      </c>
      <c r="J160" s="128">
        <v>13277245</v>
      </c>
      <c r="K160" s="128">
        <f>SUM(B160:J160)</f>
        <v>115205136</v>
      </c>
    </row>
    <row r="161" spans="1:11" x14ac:dyDescent="0.35">
      <c r="A161" s="42">
        <v>45038</v>
      </c>
      <c r="B161" s="128">
        <v>29213705</v>
      </c>
      <c r="C161" s="128">
        <v>1257365</v>
      </c>
      <c r="D161" s="128">
        <v>1152609</v>
      </c>
      <c r="E161" s="128">
        <v>47904974</v>
      </c>
      <c r="F161" s="128">
        <v>3205806</v>
      </c>
      <c r="G161" s="128">
        <v>66029</v>
      </c>
      <c r="H161" s="128">
        <v>1338660</v>
      </c>
      <c r="I161" s="128">
        <v>18006331</v>
      </c>
      <c r="J161" s="128">
        <v>11251075</v>
      </c>
      <c r="K161" s="128">
        <f>SUM(B161:J161)</f>
        <v>113396554</v>
      </c>
    </row>
    <row r="162" spans="1:11" x14ac:dyDescent="0.35">
      <c r="A162" s="7">
        <v>45068</v>
      </c>
      <c r="B162" s="128">
        <v>28914778</v>
      </c>
      <c r="C162" s="128">
        <v>1104166</v>
      </c>
      <c r="D162" s="128">
        <v>1125154</v>
      </c>
      <c r="E162" s="128">
        <v>43589953</v>
      </c>
      <c r="F162" s="128">
        <v>2721011</v>
      </c>
      <c r="G162" s="128">
        <v>84753</v>
      </c>
      <c r="H162" s="128">
        <v>1388995</v>
      </c>
      <c r="I162" s="128">
        <v>19941558</v>
      </c>
      <c r="J162" s="128">
        <v>10263012</v>
      </c>
      <c r="K162" s="128">
        <f>SUM(B162:J162)</f>
        <v>109133380</v>
      </c>
    </row>
    <row r="163" spans="1:11" x14ac:dyDescent="0.35">
      <c r="A163" s="7">
        <v>45099</v>
      </c>
      <c r="B163" s="128">
        <v>28806731</v>
      </c>
      <c r="C163" s="128">
        <v>1070989</v>
      </c>
      <c r="D163" s="128">
        <v>911034</v>
      </c>
      <c r="E163" s="128">
        <v>41896817</v>
      </c>
      <c r="F163" s="128">
        <v>2507922</v>
      </c>
      <c r="G163" s="128">
        <v>83147</v>
      </c>
      <c r="H163" s="128">
        <v>1639144</v>
      </c>
      <c r="I163" s="128">
        <v>18819475</v>
      </c>
      <c r="J163" s="128">
        <v>11613265</v>
      </c>
      <c r="K163" s="128">
        <f t="shared" ref="K163:K180" si="5">SUM(B163:J163)</f>
        <v>107348524</v>
      </c>
    </row>
    <row r="164" spans="1:11" x14ac:dyDescent="0.35">
      <c r="A164" s="42">
        <v>45129</v>
      </c>
      <c r="B164" s="128">
        <v>28887232</v>
      </c>
      <c r="C164" s="128">
        <v>1223226</v>
      </c>
      <c r="D164" s="128">
        <v>830057</v>
      </c>
      <c r="E164" s="128">
        <v>43368725</v>
      </c>
      <c r="F164" s="128">
        <v>2474655</v>
      </c>
      <c r="G164" s="128">
        <v>51641</v>
      </c>
      <c r="H164" s="128">
        <v>1262947</v>
      </c>
      <c r="I164" s="128">
        <v>16318621</v>
      </c>
      <c r="J164" s="128">
        <v>9114203</v>
      </c>
      <c r="K164" s="128">
        <f t="shared" si="5"/>
        <v>103531307</v>
      </c>
    </row>
    <row r="165" spans="1:11" x14ac:dyDescent="0.35">
      <c r="A165" s="7">
        <v>45160</v>
      </c>
      <c r="B165" s="128">
        <v>29971144</v>
      </c>
      <c r="C165" s="128">
        <v>1087727</v>
      </c>
      <c r="D165" s="128">
        <v>922813</v>
      </c>
      <c r="E165" s="128">
        <v>41816038</v>
      </c>
      <c r="F165" s="128">
        <v>2520841</v>
      </c>
      <c r="G165" s="128">
        <v>111109</v>
      </c>
      <c r="H165" s="128">
        <v>1383424</v>
      </c>
      <c r="I165" s="128">
        <v>17571764</v>
      </c>
      <c r="J165" s="128">
        <v>9355401</v>
      </c>
      <c r="K165" s="128">
        <f t="shared" si="5"/>
        <v>104740261</v>
      </c>
    </row>
    <row r="166" spans="1:11" x14ac:dyDescent="0.35">
      <c r="A166" s="7">
        <v>45191</v>
      </c>
      <c r="B166" s="128">
        <v>29455277</v>
      </c>
      <c r="C166" s="128">
        <v>1060403</v>
      </c>
      <c r="D166" s="128">
        <v>875098</v>
      </c>
      <c r="E166" s="128">
        <v>43470979</v>
      </c>
      <c r="F166" s="128">
        <v>2715950</v>
      </c>
      <c r="G166" s="128">
        <v>71341</v>
      </c>
      <c r="H166" s="128">
        <v>1581594</v>
      </c>
      <c r="I166" s="128">
        <v>16854536</v>
      </c>
      <c r="J166" s="128">
        <v>12283199</v>
      </c>
      <c r="K166" s="128">
        <f t="shared" si="5"/>
        <v>108368377</v>
      </c>
    </row>
    <row r="167" spans="1:11" x14ac:dyDescent="0.35">
      <c r="A167" s="42">
        <v>45221</v>
      </c>
      <c r="B167" s="128">
        <v>28835412</v>
      </c>
      <c r="C167" s="128">
        <v>1199518</v>
      </c>
      <c r="D167" s="128">
        <v>1020168</v>
      </c>
      <c r="E167" s="128">
        <v>43100618</v>
      </c>
      <c r="F167" s="128">
        <v>2995560</v>
      </c>
      <c r="G167" s="128">
        <v>91445</v>
      </c>
      <c r="H167" s="128">
        <v>1432854</v>
      </c>
      <c r="I167" s="128">
        <v>17284103</v>
      </c>
      <c r="J167" s="128">
        <v>10354167</v>
      </c>
      <c r="K167" s="128">
        <f t="shared" si="5"/>
        <v>106313845</v>
      </c>
    </row>
    <row r="168" spans="1:11" x14ac:dyDescent="0.35">
      <c r="A168" s="7">
        <v>45252</v>
      </c>
      <c r="B168" s="304">
        <v>30687206.329999998</v>
      </c>
      <c r="C168" s="304">
        <v>1066641.3899999999</v>
      </c>
      <c r="D168" s="304">
        <v>1046445.86</v>
      </c>
      <c r="E168" s="304">
        <v>41692194.140000001</v>
      </c>
      <c r="F168" s="304">
        <v>2309173.2999999998</v>
      </c>
      <c r="G168" s="304">
        <v>60835.57</v>
      </c>
      <c r="H168" s="304">
        <v>1604381.54</v>
      </c>
      <c r="I168" s="304">
        <v>18826568.82</v>
      </c>
      <c r="J168" s="304">
        <f>4643912.04+5526816.52</f>
        <v>10170728.559999999</v>
      </c>
      <c r="K168" s="195">
        <f t="shared" si="5"/>
        <v>107464175.50999999</v>
      </c>
    </row>
    <row r="169" spans="1:11" ht="15" thickBot="1" x14ac:dyDescent="0.4">
      <c r="A169" s="15">
        <v>45282</v>
      </c>
      <c r="B169" s="190">
        <v>35833991</v>
      </c>
      <c r="C169" s="308">
        <v>1233876.1200000001</v>
      </c>
      <c r="D169" s="308">
        <v>1280532.23</v>
      </c>
      <c r="E169" s="308">
        <v>49123922.07</v>
      </c>
      <c r="F169" s="308">
        <v>3141893.21</v>
      </c>
      <c r="G169" s="308">
        <v>86367.25</v>
      </c>
      <c r="H169" s="308">
        <v>2024080.01</v>
      </c>
      <c r="I169" s="308">
        <v>22236319.329999998</v>
      </c>
      <c r="J169" s="308">
        <f>4393201.1+10742243.45</f>
        <v>15135444.549999999</v>
      </c>
      <c r="K169" s="307">
        <f t="shared" si="5"/>
        <v>130096425.76999998</v>
      </c>
    </row>
    <row r="170" spans="1:11" x14ac:dyDescent="0.35">
      <c r="A170" s="53">
        <v>45313</v>
      </c>
      <c r="B170" s="134">
        <v>30040849</v>
      </c>
      <c r="C170" s="134">
        <v>1023589.84</v>
      </c>
      <c r="D170" s="134">
        <v>1058128.43</v>
      </c>
      <c r="E170" s="134">
        <v>45108805.380000003</v>
      </c>
      <c r="F170" s="134">
        <v>2261143.64</v>
      </c>
      <c r="G170" s="134">
        <v>72721.23</v>
      </c>
      <c r="H170" s="134">
        <v>2138581.5</v>
      </c>
      <c r="I170" s="134">
        <v>18760026.98</v>
      </c>
      <c r="J170" s="134">
        <f>3616741.95+5469576.82</f>
        <v>9086318.7699999996</v>
      </c>
      <c r="K170" s="128">
        <f t="shared" si="5"/>
        <v>109550164.77000001</v>
      </c>
    </row>
    <row r="171" spans="1:11" x14ac:dyDescent="0.35">
      <c r="A171" s="7">
        <v>45344</v>
      </c>
      <c r="B171" s="185">
        <v>30816297</v>
      </c>
      <c r="C171" s="185">
        <v>1087899.08</v>
      </c>
      <c r="D171" s="185">
        <v>939069.3</v>
      </c>
      <c r="E171" s="185">
        <v>46567810.210000001</v>
      </c>
      <c r="F171" s="185">
        <v>2226515.7999999998</v>
      </c>
      <c r="G171" s="185">
        <v>139586.73000000001</v>
      </c>
      <c r="H171" s="185">
        <v>2121537.66</v>
      </c>
      <c r="I171" s="185">
        <v>15276074.460000001</v>
      </c>
      <c r="J171" s="314">
        <f>4309203.21+6207128.3</f>
        <v>10516331.51</v>
      </c>
      <c r="K171" s="128">
        <f t="shared" si="5"/>
        <v>109691121.75000001</v>
      </c>
    </row>
    <row r="172" spans="1:11" x14ac:dyDescent="0.35">
      <c r="A172" s="7">
        <v>45373</v>
      </c>
      <c r="B172" s="185">
        <v>34416268.920000002</v>
      </c>
      <c r="C172" s="185">
        <v>1039119.57</v>
      </c>
      <c r="D172" s="185">
        <v>975245.31</v>
      </c>
      <c r="E172" s="185">
        <v>51783063.799999997</v>
      </c>
      <c r="F172" s="185">
        <v>2901581.97</v>
      </c>
      <c r="G172" s="185">
        <v>133028.26999999999</v>
      </c>
      <c r="H172" s="185">
        <v>1631224.74</v>
      </c>
      <c r="I172" s="185">
        <v>17922733.75</v>
      </c>
      <c r="J172" s="185">
        <f>4940477.27+6943527.75</f>
        <v>11884005.02</v>
      </c>
      <c r="K172" s="128">
        <f t="shared" si="5"/>
        <v>122686271.34999998</v>
      </c>
    </row>
    <row r="173" spans="1:11" x14ac:dyDescent="0.35">
      <c r="A173" s="42">
        <v>45404</v>
      </c>
      <c r="B173" s="185">
        <v>32752035.489999998</v>
      </c>
      <c r="C173" s="185">
        <v>1143371.48</v>
      </c>
      <c r="D173" s="185">
        <v>1231338.22</v>
      </c>
      <c r="E173" s="185">
        <v>55924063.950000003</v>
      </c>
      <c r="F173" s="185">
        <v>2908180.89</v>
      </c>
      <c r="G173" s="185">
        <v>76779.98</v>
      </c>
      <c r="H173" s="185">
        <v>1441403.35</v>
      </c>
      <c r="I173" s="185">
        <v>15952185.83</v>
      </c>
      <c r="J173" s="133">
        <f>5144777.41+6072868.35</f>
        <v>11217645.76</v>
      </c>
      <c r="K173" s="128">
        <f t="shared" si="5"/>
        <v>122647004.95</v>
      </c>
    </row>
    <row r="174" spans="1:11" x14ac:dyDescent="0.35">
      <c r="A174" s="7">
        <v>45434</v>
      </c>
      <c r="B174" s="128">
        <v>32662230.84</v>
      </c>
      <c r="C174" s="128">
        <v>1038825.88</v>
      </c>
      <c r="D174" s="128">
        <v>998150.02</v>
      </c>
      <c r="E174" s="128">
        <v>47948059.030000001</v>
      </c>
      <c r="F174" s="128">
        <v>3550552.37</v>
      </c>
      <c r="G174" s="128">
        <v>115375.81</v>
      </c>
      <c r="H174" s="128">
        <v>1831543.55</v>
      </c>
      <c r="I174" s="128">
        <v>17302571.98</v>
      </c>
      <c r="J174" s="128">
        <v>10685089.309999999</v>
      </c>
      <c r="K174" s="128">
        <f t="shared" si="5"/>
        <v>116132398.79000002</v>
      </c>
    </row>
    <row r="175" spans="1:11" x14ac:dyDescent="0.35">
      <c r="A175" s="7">
        <v>45465</v>
      </c>
      <c r="B175" s="128">
        <v>35143231.640000001</v>
      </c>
      <c r="C175" s="128">
        <v>1005451.57</v>
      </c>
      <c r="D175" s="128">
        <v>913082.71</v>
      </c>
      <c r="E175" s="128">
        <v>48059064.409999996</v>
      </c>
      <c r="F175" s="128">
        <v>2744523.71</v>
      </c>
      <c r="G175" s="128">
        <v>69124.25</v>
      </c>
      <c r="H175" s="128">
        <v>1336864.1599999999</v>
      </c>
      <c r="I175" s="128">
        <v>16075037.689999999</v>
      </c>
      <c r="J175" s="128">
        <v>11061346.800000001</v>
      </c>
      <c r="K175" s="128">
        <f t="shared" si="5"/>
        <v>116407726.93999998</v>
      </c>
    </row>
    <row r="176" spans="1:11" x14ac:dyDescent="0.35">
      <c r="A176" s="42">
        <v>45495</v>
      </c>
      <c r="B176" s="128">
        <v>32303992.010000002</v>
      </c>
      <c r="C176" s="128">
        <v>1150649.54</v>
      </c>
      <c r="D176" s="128">
        <v>966918.46</v>
      </c>
      <c r="E176" s="128">
        <v>46480105.909999996</v>
      </c>
      <c r="F176" s="128">
        <v>2554311.13</v>
      </c>
      <c r="G176" s="128">
        <v>124609.51</v>
      </c>
      <c r="H176" s="128">
        <v>1370380.23</v>
      </c>
      <c r="I176" s="128">
        <v>15823551.800000001</v>
      </c>
      <c r="J176" s="128">
        <v>9573085.0700000003</v>
      </c>
      <c r="K176" s="128">
        <f t="shared" si="5"/>
        <v>110347603.66</v>
      </c>
    </row>
    <row r="177" spans="1:11" x14ac:dyDescent="0.35">
      <c r="A177" s="7">
        <v>45526</v>
      </c>
      <c r="B177" s="128">
        <v>34851563.219999999</v>
      </c>
      <c r="C177" s="128">
        <v>1032767.77</v>
      </c>
      <c r="D177" s="128">
        <v>866292.67</v>
      </c>
      <c r="E177" s="128">
        <v>46514912.289999999</v>
      </c>
      <c r="F177" s="128">
        <v>2695062.04</v>
      </c>
      <c r="G177" s="128">
        <v>146058.39000000001</v>
      </c>
      <c r="H177" s="128">
        <v>1420260.84</v>
      </c>
      <c r="I177" s="128">
        <v>15266161.68</v>
      </c>
      <c r="J177" s="128">
        <v>9097173.75</v>
      </c>
      <c r="K177" s="128">
        <f>SUM(B177:J177)</f>
        <v>111890252.65000001</v>
      </c>
    </row>
    <row r="178" spans="1:11" x14ac:dyDescent="0.35">
      <c r="A178" s="7">
        <v>45557</v>
      </c>
      <c r="B178" s="128">
        <v>35288279.439999998</v>
      </c>
      <c r="C178" s="128">
        <v>984450.71</v>
      </c>
      <c r="D178" s="128">
        <v>859328.45</v>
      </c>
      <c r="E178" s="128">
        <v>45246730.07</v>
      </c>
      <c r="F178" s="128">
        <v>2502653.7799999998</v>
      </c>
      <c r="G178" s="128">
        <v>120435.61</v>
      </c>
      <c r="H178" s="128">
        <v>1374676.17</v>
      </c>
      <c r="I178" s="128">
        <v>16431530.49</v>
      </c>
      <c r="J178" s="128">
        <v>10045387.060000001</v>
      </c>
      <c r="K178" s="128">
        <f t="shared" si="5"/>
        <v>112853471.78</v>
      </c>
    </row>
    <row r="179" spans="1:11" x14ac:dyDescent="0.35">
      <c r="A179" s="42">
        <v>45587</v>
      </c>
      <c r="B179" s="128">
        <v>34372749.25</v>
      </c>
      <c r="C179" s="128">
        <v>1167040.48</v>
      </c>
      <c r="D179" s="128">
        <v>1186023.33</v>
      </c>
      <c r="E179" s="128">
        <v>47666128.609999999</v>
      </c>
      <c r="F179" s="128">
        <v>2899059.49</v>
      </c>
      <c r="G179" s="128">
        <v>103823.6</v>
      </c>
      <c r="H179" s="128">
        <v>1643781.2</v>
      </c>
      <c r="I179" s="128">
        <v>16874045.670000002</v>
      </c>
      <c r="J179" s="128">
        <v>9642163.8100000005</v>
      </c>
      <c r="K179" s="128">
        <f>SUM(B179:J179)</f>
        <v>115554815.43999998</v>
      </c>
    </row>
    <row r="180" spans="1:11" x14ac:dyDescent="0.35">
      <c r="A180" s="7">
        <v>45618</v>
      </c>
      <c r="B180" s="304">
        <v>36185482.380000003</v>
      </c>
      <c r="C180" s="304">
        <v>1039357.29</v>
      </c>
      <c r="D180" s="304">
        <v>1101494.6399999999</v>
      </c>
      <c r="E180" s="304">
        <v>47723053.280000001</v>
      </c>
      <c r="F180" s="304">
        <v>2908677.28</v>
      </c>
      <c r="G180" s="304">
        <v>90160.59</v>
      </c>
      <c r="H180" s="304">
        <v>1672686.46</v>
      </c>
      <c r="I180" s="304">
        <v>17103603.93</v>
      </c>
      <c r="J180" s="304">
        <v>11496582.91</v>
      </c>
      <c r="K180" s="128">
        <f t="shared" si="5"/>
        <v>119321098.75999999</v>
      </c>
    </row>
    <row r="181" spans="1:11" ht="15" thickBot="1" x14ac:dyDescent="0.4">
      <c r="A181" s="15">
        <v>45648</v>
      </c>
      <c r="B181" s="190">
        <v>40290632.899999999</v>
      </c>
      <c r="C181" s="308">
        <v>1249956.32</v>
      </c>
      <c r="D181" s="308">
        <v>1268021.1499999999</v>
      </c>
      <c r="E181" s="308">
        <v>50451802.920000002</v>
      </c>
      <c r="F181" s="308">
        <v>3151482.69</v>
      </c>
      <c r="G181" s="308">
        <v>208053.3</v>
      </c>
      <c r="H181" s="308">
        <v>2202132.36</v>
      </c>
      <c r="I181" s="308">
        <v>20103763.129999999</v>
      </c>
      <c r="J181" s="308">
        <v>13687890.239999998</v>
      </c>
      <c r="K181" s="307">
        <v>132613735.00999998</v>
      </c>
    </row>
    <row r="182" spans="1:11" x14ac:dyDescent="0.35">
      <c r="A182" s="16"/>
      <c r="B182" s="194"/>
      <c r="C182" s="194"/>
      <c r="D182" s="194"/>
      <c r="E182" s="194"/>
      <c r="F182" s="194"/>
      <c r="G182" s="194"/>
      <c r="H182" s="194"/>
      <c r="I182" s="194"/>
      <c r="J182" s="194"/>
      <c r="K182" s="194"/>
    </row>
    <row r="183" spans="1:11" ht="15" thickBot="1" x14ac:dyDescent="0.4">
      <c r="A183" s="16"/>
      <c r="B183" s="12"/>
      <c r="C183" s="12"/>
      <c r="D183" s="12"/>
      <c r="E183" s="12"/>
      <c r="F183" s="12"/>
      <c r="G183" s="12"/>
    </row>
    <row r="184" spans="1:11" x14ac:dyDescent="0.35">
      <c r="A184" s="1" t="s">
        <v>9</v>
      </c>
      <c r="B184" s="2" t="s">
        <v>219</v>
      </c>
      <c r="C184" s="3" t="s">
        <v>220</v>
      </c>
      <c r="D184" s="2" t="s">
        <v>221</v>
      </c>
      <c r="E184" s="3" t="s">
        <v>222</v>
      </c>
      <c r="F184" s="2" t="s">
        <v>223</v>
      </c>
      <c r="G184" s="3" t="s">
        <v>224</v>
      </c>
      <c r="H184" s="2" t="s">
        <v>225</v>
      </c>
      <c r="I184" s="3" t="s">
        <v>226</v>
      </c>
      <c r="J184" s="2" t="s">
        <v>227</v>
      </c>
      <c r="K184" s="2" t="s">
        <v>228</v>
      </c>
    </row>
    <row r="185" spans="1:11" x14ac:dyDescent="0.35">
      <c r="A185" s="18">
        <v>2010</v>
      </c>
      <c r="B185" s="128">
        <f t="shared" ref="B185:K185" si="6">SUM(B2:B13)</f>
        <v>123728447.27</v>
      </c>
      <c r="C185" s="195">
        <f t="shared" si="6"/>
        <v>15234152</v>
      </c>
      <c r="D185" s="128">
        <f t="shared" si="6"/>
        <v>11176717</v>
      </c>
      <c r="E185" s="195">
        <f t="shared" si="6"/>
        <v>321731442</v>
      </c>
      <c r="F185" s="128">
        <f t="shared" si="6"/>
        <v>45390417</v>
      </c>
      <c r="G185" s="195">
        <f t="shared" si="6"/>
        <v>2086817</v>
      </c>
      <c r="H185" s="128">
        <f t="shared" si="6"/>
        <v>8886837</v>
      </c>
      <c r="I185" s="195">
        <f t="shared" si="6"/>
        <v>184236708</v>
      </c>
      <c r="J185" s="128">
        <f t="shared" si="6"/>
        <v>41768468</v>
      </c>
      <c r="K185" s="128">
        <f t="shared" si="6"/>
        <v>754240005.26999998</v>
      </c>
    </row>
    <row r="186" spans="1:11" x14ac:dyDescent="0.35">
      <c r="A186" s="18">
        <v>2011</v>
      </c>
      <c r="B186" s="128">
        <f t="shared" ref="B186:K186" si="7">SUM(B14:B25)</f>
        <v>138037511</v>
      </c>
      <c r="C186" s="195">
        <f t="shared" si="7"/>
        <v>14887511</v>
      </c>
      <c r="D186" s="128">
        <f t="shared" si="7"/>
        <v>10179356</v>
      </c>
      <c r="E186" s="195">
        <f t="shared" si="7"/>
        <v>330625110</v>
      </c>
      <c r="F186" s="128">
        <f t="shared" si="7"/>
        <v>48048384</v>
      </c>
      <c r="G186" s="195">
        <f t="shared" si="7"/>
        <v>1454126</v>
      </c>
      <c r="H186" s="128">
        <f t="shared" si="7"/>
        <v>9640106</v>
      </c>
      <c r="I186" s="195">
        <f t="shared" si="7"/>
        <v>234453608</v>
      </c>
      <c r="J186" s="128">
        <f t="shared" si="7"/>
        <v>41358212</v>
      </c>
      <c r="K186" s="128">
        <f t="shared" si="7"/>
        <v>828683924</v>
      </c>
    </row>
    <row r="187" spans="1:11" x14ac:dyDescent="0.35">
      <c r="A187" s="18">
        <v>2012</v>
      </c>
      <c r="B187" s="128">
        <f t="shared" ref="B187:K187" si="8">SUM(B26:B37)</f>
        <v>150583967</v>
      </c>
      <c r="C187" s="195">
        <f t="shared" si="8"/>
        <v>16078932</v>
      </c>
      <c r="D187" s="128">
        <f t="shared" si="8"/>
        <v>11388620</v>
      </c>
      <c r="E187" s="195">
        <f t="shared" si="8"/>
        <v>347428683</v>
      </c>
      <c r="F187" s="128">
        <f t="shared" si="8"/>
        <v>50482554</v>
      </c>
      <c r="G187" s="195">
        <f t="shared" si="8"/>
        <v>920952</v>
      </c>
      <c r="H187" s="128">
        <f t="shared" si="8"/>
        <v>10518470</v>
      </c>
      <c r="I187" s="195">
        <f t="shared" si="8"/>
        <v>249457827</v>
      </c>
      <c r="J187" s="128">
        <f t="shared" si="8"/>
        <v>47741642</v>
      </c>
      <c r="K187" s="128">
        <f t="shared" si="8"/>
        <v>884601647</v>
      </c>
    </row>
    <row r="188" spans="1:11" x14ac:dyDescent="0.35">
      <c r="A188" s="18">
        <v>2013</v>
      </c>
      <c r="B188" s="128">
        <f t="shared" ref="B188:K188" si="9">SUM(B38:B49)</f>
        <v>160019641</v>
      </c>
      <c r="C188" s="195">
        <f t="shared" si="9"/>
        <v>18636225</v>
      </c>
      <c r="D188" s="128">
        <f t="shared" si="9"/>
        <v>11202186</v>
      </c>
      <c r="E188" s="195">
        <f t="shared" si="9"/>
        <v>365840567</v>
      </c>
      <c r="F188" s="128">
        <f t="shared" si="9"/>
        <v>51957972</v>
      </c>
      <c r="G188" s="195">
        <f t="shared" si="9"/>
        <v>987872</v>
      </c>
      <c r="H188" s="128">
        <f t="shared" si="9"/>
        <v>12255552</v>
      </c>
      <c r="I188" s="195">
        <f t="shared" si="9"/>
        <v>252109220</v>
      </c>
      <c r="J188" s="128">
        <f t="shared" si="9"/>
        <v>51084006</v>
      </c>
      <c r="K188" s="128">
        <f t="shared" si="9"/>
        <v>924093241</v>
      </c>
    </row>
    <row r="189" spans="1:11" x14ac:dyDescent="0.35">
      <c r="A189" s="18">
        <v>2014</v>
      </c>
      <c r="B189" s="128">
        <f t="shared" ref="B189:K189" si="10">SUM(B50:B61)</f>
        <v>173563305</v>
      </c>
      <c r="C189" s="195">
        <f t="shared" si="10"/>
        <v>18267735</v>
      </c>
      <c r="D189" s="128">
        <f t="shared" si="10"/>
        <v>11704153</v>
      </c>
      <c r="E189" s="195">
        <f t="shared" si="10"/>
        <v>355855671</v>
      </c>
      <c r="F189" s="128">
        <f t="shared" si="10"/>
        <v>44563402</v>
      </c>
      <c r="G189" s="195">
        <f t="shared" si="10"/>
        <v>1133516</v>
      </c>
      <c r="H189" s="128">
        <f t="shared" si="10"/>
        <v>12077697</v>
      </c>
      <c r="I189" s="195">
        <f t="shared" si="10"/>
        <v>257851832</v>
      </c>
      <c r="J189" s="128">
        <f t="shared" si="10"/>
        <v>45090649</v>
      </c>
      <c r="K189" s="128">
        <f t="shared" si="10"/>
        <v>920107960</v>
      </c>
    </row>
    <row r="190" spans="1:11" x14ac:dyDescent="0.35">
      <c r="A190" s="18">
        <v>2015</v>
      </c>
      <c r="B190" s="128">
        <f t="shared" ref="B190:K190" si="11">SUM(B62:B73)</f>
        <v>207586519.10999998</v>
      </c>
      <c r="C190" s="195">
        <f t="shared" si="11"/>
        <v>14765575.779999999</v>
      </c>
      <c r="D190" s="128">
        <f t="shared" si="11"/>
        <v>11005864.91</v>
      </c>
      <c r="E190" s="195">
        <f t="shared" si="11"/>
        <v>363475506.31</v>
      </c>
      <c r="F190" s="128">
        <f t="shared" si="11"/>
        <v>43664816.089999996</v>
      </c>
      <c r="G190" s="195">
        <f t="shared" si="11"/>
        <v>1152788.18</v>
      </c>
      <c r="H190" s="128">
        <f t="shared" si="11"/>
        <v>11766489.810000001</v>
      </c>
      <c r="I190" s="195">
        <f t="shared" si="11"/>
        <v>236089045.50999999</v>
      </c>
      <c r="J190" s="128">
        <f t="shared" si="11"/>
        <v>41819159.990000002</v>
      </c>
      <c r="K190" s="128">
        <f t="shared" si="11"/>
        <v>931325765.68999994</v>
      </c>
    </row>
    <row r="191" spans="1:11" x14ac:dyDescent="0.35">
      <c r="A191" s="18">
        <v>2016</v>
      </c>
      <c r="B191" s="128">
        <f t="shared" ref="B191:K191" si="12">SUM(B74:B85)</f>
        <v>252010812.50999999</v>
      </c>
      <c r="C191" s="195">
        <f t="shared" si="12"/>
        <v>14929308.130000001</v>
      </c>
      <c r="D191" s="128">
        <f t="shared" si="12"/>
        <v>9922773.9199999999</v>
      </c>
      <c r="E191" s="195">
        <f t="shared" si="12"/>
        <v>369678429.31999999</v>
      </c>
      <c r="F191" s="128">
        <f t="shared" si="12"/>
        <v>42869237.32</v>
      </c>
      <c r="G191" s="195">
        <f t="shared" si="12"/>
        <v>1065854.52</v>
      </c>
      <c r="H191" s="128">
        <f t="shared" si="12"/>
        <v>14473162.909999998</v>
      </c>
      <c r="I191" s="195">
        <f t="shared" si="12"/>
        <v>231615549.03999999</v>
      </c>
      <c r="J191" s="128">
        <f t="shared" si="12"/>
        <v>47186530.220000006</v>
      </c>
      <c r="K191" s="128">
        <f t="shared" si="12"/>
        <v>983751657.88999999</v>
      </c>
    </row>
    <row r="192" spans="1:11" x14ac:dyDescent="0.35">
      <c r="A192" s="18">
        <v>2017</v>
      </c>
      <c r="B192" s="128">
        <f t="shared" ref="B192:K192" si="13">SUM(B86:B97)</f>
        <v>266602780.31</v>
      </c>
      <c r="C192" s="195">
        <f t="shared" si="13"/>
        <v>13255048.569999998</v>
      </c>
      <c r="D192" s="128">
        <f t="shared" si="13"/>
        <v>10528767.850000001</v>
      </c>
      <c r="E192" s="195">
        <f t="shared" si="13"/>
        <v>368014546.90000004</v>
      </c>
      <c r="F192" s="128">
        <f t="shared" si="13"/>
        <v>42549937.380000003</v>
      </c>
      <c r="G192" s="195">
        <f t="shared" si="13"/>
        <v>1049574.23</v>
      </c>
      <c r="H192" s="128">
        <f t="shared" si="13"/>
        <v>14378334.57</v>
      </c>
      <c r="I192" s="195">
        <f t="shared" si="13"/>
        <v>218597956.42000002</v>
      </c>
      <c r="J192" s="128">
        <f t="shared" si="13"/>
        <v>55360696.50999999</v>
      </c>
      <c r="K192" s="128">
        <f t="shared" si="13"/>
        <v>990337642.74000001</v>
      </c>
    </row>
    <row r="193" spans="1:11" x14ac:dyDescent="0.35">
      <c r="A193" s="18">
        <v>2018</v>
      </c>
      <c r="B193" s="128">
        <f t="shared" ref="B193:K193" si="14">SUM(B98:B109)</f>
        <v>257585345.29900005</v>
      </c>
      <c r="C193" s="195">
        <f t="shared" si="14"/>
        <v>12491876.48</v>
      </c>
      <c r="D193" s="128">
        <f t="shared" si="14"/>
        <v>-2713675.2600000007</v>
      </c>
      <c r="E193" s="195">
        <f t="shared" si="14"/>
        <v>373456321.18000001</v>
      </c>
      <c r="F193" s="128">
        <f t="shared" si="14"/>
        <v>42973846.100000009</v>
      </c>
      <c r="G193" s="195">
        <f t="shared" si="14"/>
        <v>1130073.6100000001</v>
      </c>
      <c r="H193" s="128">
        <f t="shared" si="14"/>
        <v>14488121.790000003</v>
      </c>
      <c r="I193" s="195">
        <f t="shared" si="14"/>
        <v>216881169.22999999</v>
      </c>
      <c r="J193" s="128">
        <f t="shared" si="14"/>
        <v>83026338.450000003</v>
      </c>
      <c r="K193" s="128">
        <f t="shared" si="14"/>
        <v>999319416.87900007</v>
      </c>
    </row>
    <row r="194" spans="1:11" x14ac:dyDescent="0.35">
      <c r="A194" s="97">
        <v>2019</v>
      </c>
      <c r="B194" s="196">
        <f t="shared" ref="B194:K194" si="15">SUM(B110:B121)</f>
        <v>274237679.55999994</v>
      </c>
      <c r="C194" s="197">
        <f t="shared" si="15"/>
        <v>11644994.27</v>
      </c>
      <c r="D194" s="196">
        <f t="shared" si="15"/>
        <v>8487372.379999999</v>
      </c>
      <c r="E194" s="197">
        <f t="shared" si="15"/>
        <v>402472175.31999993</v>
      </c>
      <c r="F194" s="196">
        <f t="shared" si="15"/>
        <v>40474003.520000011</v>
      </c>
      <c r="G194" s="197">
        <f t="shared" si="15"/>
        <v>1292411.3400000001</v>
      </c>
      <c r="H194" s="196">
        <f t="shared" si="15"/>
        <v>15204526.309999999</v>
      </c>
      <c r="I194" s="197">
        <f t="shared" si="15"/>
        <v>219112018.80999997</v>
      </c>
      <c r="J194" s="196">
        <f t="shared" si="15"/>
        <v>76080968.140000001</v>
      </c>
      <c r="K194" s="196">
        <f t="shared" si="15"/>
        <v>1049006149.65</v>
      </c>
    </row>
    <row r="195" spans="1:11" x14ac:dyDescent="0.35">
      <c r="A195" s="18">
        <v>2020</v>
      </c>
      <c r="B195" s="128">
        <f t="shared" ref="B195:K195" si="16">SUM(B122:B133)</f>
        <v>302666233.74999994</v>
      </c>
      <c r="C195" s="50">
        <f t="shared" si="16"/>
        <v>12781020.259999998</v>
      </c>
      <c r="D195" s="128">
        <f t="shared" si="16"/>
        <v>9476724.4499999993</v>
      </c>
      <c r="E195" s="50">
        <f t="shared" si="16"/>
        <v>362931609.12</v>
      </c>
      <c r="F195" s="128">
        <f t="shared" si="16"/>
        <v>27902285.690000001</v>
      </c>
      <c r="G195" s="50">
        <f t="shared" si="16"/>
        <v>627624.32999999996</v>
      </c>
      <c r="H195" s="128">
        <f t="shared" si="16"/>
        <v>13535760.529999999</v>
      </c>
      <c r="I195" s="50">
        <f t="shared" si="16"/>
        <v>214409931.85999998</v>
      </c>
      <c r="J195" s="128">
        <f t="shared" si="16"/>
        <v>88198941.549999982</v>
      </c>
      <c r="K195" s="128">
        <f t="shared" si="16"/>
        <v>1032530131.54</v>
      </c>
    </row>
    <row r="196" spans="1:11" x14ac:dyDescent="0.35">
      <c r="A196" s="18">
        <v>2021</v>
      </c>
      <c r="B196" s="128">
        <f t="shared" ref="B196:K196" si="17">SUM(B134:B145)</f>
        <v>319658519.36000001</v>
      </c>
      <c r="C196" s="50">
        <f t="shared" si="17"/>
        <v>13206674.159</v>
      </c>
      <c r="D196" s="128">
        <f t="shared" si="17"/>
        <v>10465733.940000001</v>
      </c>
      <c r="E196" s="50">
        <f t="shared" si="17"/>
        <v>448169082.56999999</v>
      </c>
      <c r="F196" s="128">
        <f t="shared" si="17"/>
        <v>33628488.210000001</v>
      </c>
      <c r="G196" s="50">
        <f t="shared" si="17"/>
        <v>1012406.6699999999</v>
      </c>
      <c r="H196" s="128">
        <f t="shared" si="17"/>
        <v>15798131.019999998</v>
      </c>
      <c r="I196" s="50">
        <f t="shared" si="17"/>
        <v>202256121.19</v>
      </c>
      <c r="J196" s="128">
        <f t="shared" si="17"/>
        <v>115783723.75</v>
      </c>
      <c r="K196" s="128">
        <f t="shared" si="17"/>
        <v>1159978880.869</v>
      </c>
    </row>
    <row r="197" spans="1:11" x14ac:dyDescent="0.35">
      <c r="A197" s="18">
        <v>2022</v>
      </c>
      <c r="B197" s="128">
        <f t="shared" ref="B197:K197" si="18">SUM(B146:B157)</f>
        <v>338993438.93000001</v>
      </c>
      <c r="C197" s="128">
        <f t="shared" si="18"/>
        <v>13191341.84</v>
      </c>
      <c r="D197" s="128">
        <f t="shared" si="18"/>
        <v>11660505.359999999</v>
      </c>
      <c r="E197" s="128">
        <f t="shared" si="18"/>
        <v>483652420.86000001</v>
      </c>
      <c r="F197" s="128">
        <f t="shared" si="18"/>
        <v>33361698.399999999</v>
      </c>
      <c r="G197" s="128">
        <f t="shared" si="18"/>
        <v>1366574.46</v>
      </c>
      <c r="H197" s="128">
        <f t="shared" si="18"/>
        <v>18205853.25</v>
      </c>
      <c r="I197" s="128">
        <f t="shared" si="18"/>
        <v>211435736.71000001</v>
      </c>
      <c r="J197" s="128">
        <f t="shared" si="18"/>
        <v>119462038.72</v>
      </c>
      <c r="K197" s="128">
        <f t="shared" si="18"/>
        <v>1231329608.53</v>
      </c>
    </row>
    <row r="198" spans="1:11" x14ac:dyDescent="0.35">
      <c r="A198" s="18">
        <v>2023</v>
      </c>
      <c r="B198" s="128">
        <f t="shared" ref="B198:K198" si="19">SUM(B158:B169)</f>
        <v>354922701.32999998</v>
      </c>
      <c r="C198" s="128">
        <f t="shared" si="19"/>
        <v>13433384.510000002</v>
      </c>
      <c r="D198" s="128">
        <f t="shared" si="19"/>
        <v>12105824.09</v>
      </c>
      <c r="E198" s="128">
        <f t="shared" si="19"/>
        <v>517651715.20999998</v>
      </c>
      <c r="F198" s="128">
        <f t="shared" si="19"/>
        <v>32470958.510000002</v>
      </c>
      <c r="G198" s="128">
        <f t="shared" si="19"/>
        <v>957555.82</v>
      </c>
      <c r="H198" s="128">
        <f t="shared" si="19"/>
        <v>19511519.550000001</v>
      </c>
      <c r="I198" s="128">
        <f t="shared" si="19"/>
        <v>223828456.14999998</v>
      </c>
      <c r="J198" s="128">
        <f t="shared" si="19"/>
        <v>132279297.11</v>
      </c>
      <c r="K198" s="128">
        <f t="shared" si="19"/>
        <v>1307161412.28</v>
      </c>
    </row>
    <row r="199" spans="1:11" ht="15" thickBot="1" x14ac:dyDescent="0.4">
      <c r="A199" s="189" t="s">
        <v>12</v>
      </c>
      <c r="B199" s="198">
        <f>SUM(B170:B181)</f>
        <v>409123612.08999991</v>
      </c>
      <c r="C199" s="198">
        <f>SUM(C170:C181)</f>
        <v>12962479.530000001</v>
      </c>
      <c r="D199" s="198">
        <f t="shared" ref="D199:K199" si="20">SUM(D170:D181)</f>
        <v>12363092.689999999</v>
      </c>
      <c r="E199" s="198">
        <f t="shared" si="20"/>
        <v>579473599.8599999</v>
      </c>
      <c r="F199" s="198">
        <f t="shared" si="20"/>
        <v>33303744.790000003</v>
      </c>
      <c r="G199" s="198">
        <f t="shared" si="20"/>
        <v>1399757.2700000003</v>
      </c>
      <c r="H199" s="198">
        <f t="shared" si="20"/>
        <v>20185072.219999999</v>
      </c>
      <c r="I199" s="198">
        <f t="shared" si="20"/>
        <v>202891287.38999999</v>
      </c>
      <c r="J199" s="198">
        <f t="shared" si="20"/>
        <v>127993020.01000001</v>
      </c>
      <c r="K199" s="198">
        <f t="shared" si="20"/>
        <v>1399695665.8499999</v>
      </c>
    </row>
    <row r="200" spans="1:11" ht="15" thickBot="1" x14ac:dyDescent="0.4">
      <c r="A200" s="16"/>
      <c r="B200" s="12"/>
      <c r="C200" s="12"/>
      <c r="D200" s="12"/>
      <c r="E200" s="12"/>
      <c r="F200" s="12"/>
      <c r="G200" s="12"/>
    </row>
    <row r="201" spans="1:11" ht="15" thickBot="1" x14ac:dyDescent="0.4">
      <c r="A201" s="87"/>
      <c r="B201" s="21" t="s">
        <v>219</v>
      </c>
      <c r="C201" s="88" t="s">
        <v>220</v>
      </c>
      <c r="D201" s="21" t="s">
        <v>221</v>
      </c>
      <c r="E201" s="88" t="s">
        <v>222</v>
      </c>
      <c r="F201" s="21" t="s">
        <v>223</v>
      </c>
      <c r="G201" s="88" t="s">
        <v>224</v>
      </c>
      <c r="H201" s="21" t="s">
        <v>225</v>
      </c>
      <c r="I201" s="88" t="s">
        <v>226</v>
      </c>
      <c r="J201" s="21" t="s">
        <v>227</v>
      </c>
      <c r="K201" s="86" t="s">
        <v>228</v>
      </c>
    </row>
    <row r="202" spans="1:11" x14ac:dyDescent="0.35">
      <c r="A202" s="188" t="s">
        <v>11</v>
      </c>
      <c r="B202" s="91">
        <f>SUM(B158:B169)</f>
        <v>354922701.32999998</v>
      </c>
      <c r="C202" s="91">
        <f>SUM(C158:C169)</f>
        <v>13433384.510000002</v>
      </c>
      <c r="D202" s="91">
        <f t="shared" ref="D202:K202" si="21">SUM(D158:D169)</f>
        <v>12105824.09</v>
      </c>
      <c r="E202" s="91">
        <f t="shared" si="21"/>
        <v>517651715.20999998</v>
      </c>
      <c r="F202" s="91">
        <f t="shared" si="21"/>
        <v>32470958.510000002</v>
      </c>
      <c r="G202" s="91">
        <f t="shared" si="21"/>
        <v>957555.82</v>
      </c>
      <c r="H202" s="91">
        <f t="shared" si="21"/>
        <v>19511519.550000001</v>
      </c>
      <c r="I202" s="91">
        <f t="shared" si="21"/>
        <v>223828456.14999998</v>
      </c>
      <c r="J202" s="91">
        <f t="shared" si="21"/>
        <v>132279297.11</v>
      </c>
      <c r="K202" s="91">
        <f t="shared" si="21"/>
        <v>1307161412.28</v>
      </c>
    </row>
    <row r="203" spans="1:11" x14ac:dyDescent="0.35">
      <c r="A203" s="188" t="s">
        <v>12</v>
      </c>
      <c r="B203" s="91">
        <f>SUM(B170:B181)</f>
        <v>409123612.08999991</v>
      </c>
      <c r="C203" s="91">
        <f>SUM(C170:C181)</f>
        <v>12962479.530000001</v>
      </c>
      <c r="D203" s="91">
        <f t="shared" ref="D203:K203" si="22">SUM(D170:D181)</f>
        <v>12363092.689999999</v>
      </c>
      <c r="E203" s="91">
        <f t="shared" si="22"/>
        <v>579473599.8599999</v>
      </c>
      <c r="F203" s="91">
        <f t="shared" si="22"/>
        <v>33303744.790000003</v>
      </c>
      <c r="G203" s="91">
        <f t="shared" si="22"/>
        <v>1399757.2700000003</v>
      </c>
      <c r="H203" s="91">
        <f t="shared" si="22"/>
        <v>20185072.219999999</v>
      </c>
      <c r="I203" s="91">
        <f t="shared" si="22"/>
        <v>202891287.38999999</v>
      </c>
      <c r="J203" s="91">
        <f t="shared" si="22"/>
        <v>127993020.01000001</v>
      </c>
      <c r="K203" s="91">
        <f t="shared" si="22"/>
        <v>1399695665.8499999</v>
      </c>
    </row>
    <row r="204" spans="1:11" ht="29.5" thickBot="1" x14ac:dyDescent="0.4">
      <c r="A204" s="83" t="s">
        <v>28</v>
      </c>
      <c r="B204" s="92">
        <f>(B203-B202)/B202</f>
        <v>0.15271187375981626</v>
      </c>
      <c r="C204" s="89">
        <f>(C203-C202)/C202</f>
        <v>-3.5054827742736917E-2</v>
      </c>
      <c r="D204" s="92">
        <f t="shared" ref="D204:K204" si="23">(D203-D202)/D202</f>
        <v>2.1251638722597666E-2</v>
      </c>
      <c r="E204" s="89">
        <f t="shared" si="23"/>
        <v>0.11942756651529712</v>
      </c>
      <c r="F204" s="92">
        <f t="shared" si="23"/>
        <v>2.564711108677405E-2</v>
      </c>
      <c r="G204" s="89">
        <f t="shared" si="23"/>
        <v>0.46180226861343743</v>
      </c>
      <c r="H204" s="92">
        <f t="shared" si="23"/>
        <v>3.4520769552261653E-2</v>
      </c>
      <c r="I204" s="89">
        <f t="shared" si="23"/>
        <v>-9.3541139139023594E-2</v>
      </c>
      <c r="J204" s="92">
        <f t="shared" ref="J204" si="24">(J203-J202)/J202</f>
        <v>-3.2403234622842288E-2</v>
      </c>
      <c r="K204" s="94">
        <f t="shared" si="23"/>
        <v>7.0790227358837207E-2</v>
      </c>
    </row>
    <row r="205" spans="1:11" ht="15" thickBot="1" x14ac:dyDescent="0.4">
      <c r="A205" s="16"/>
      <c r="B205" s="12"/>
      <c r="C205" s="12"/>
      <c r="D205" s="12"/>
      <c r="E205" s="12"/>
      <c r="F205" s="12"/>
      <c r="G205" s="12"/>
    </row>
    <row r="206" spans="1:11" ht="15" thickBot="1" x14ac:dyDescent="0.4">
      <c r="A206" s="87"/>
      <c r="B206" s="21" t="s">
        <v>219</v>
      </c>
      <c r="C206" s="88" t="s">
        <v>220</v>
      </c>
      <c r="D206" s="21" t="s">
        <v>221</v>
      </c>
      <c r="E206" s="88" t="s">
        <v>222</v>
      </c>
      <c r="F206" s="21" t="s">
        <v>223</v>
      </c>
      <c r="G206" s="88" t="s">
        <v>224</v>
      </c>
      <c r="H206" s="21" t="s">
        <v>225</v>
      </c>
      <c r="I206" s="88" t="s">
        <v>226</v>
      </c>
      <c r="J206" s="21" t="s">
        <v>227</v>
      </c>
      <c r="K206" s="86" t="s">
        <v>228</v>
      </c>
    </row>
    <row r="207" spans="1:11" ht="29" x14ac:dyDescent="0.35">
      <c r="A207" s="84" t="s">
        <v>17</v>
      </c>
      <c r="B207" s="91">
        <f>B169</f>
        <v>35833991</v>
      </c>
      <c r="C207" s="91">
        <f>C169</f>
        <v>1233876.1200000001</v>
      </c>
      <c r="D207" s="91">
        <f t="shared" ref="D207:K207" si="25">D169</f>
        <v>1280532.23</v>
      </c>
      <c r="E207" s="91">
        <f t="shared" si="25"/>
        <v>49123922.07</v>
      </c>
      <c r="F207" s="91">
        <f t="shared" si="25"/>
        <v>3141893.21</v>
      </c>
      <c r="G207" s="91">
        <f t="shared" si="25"/>
        <v>86367.25</v>
      </c>
      <c r="H207" s="91">
        <f t="shared" si="25"/>
        <v>2024080.01</v>
      </c>
      <c r="I207" s="91">
        <f t="shared" si="25"/>
        <v>22236319.329999998</v>
      </c>
      <c r="J207" s="91">
        <f t="shared" si="25"/>
        <v>15135444.549999999</v>
      </c>
      <c r="K207" s="91">
        <f t="shared" si="25"/>
        <v>130096425.76999998</v>
      </c>
    </row>
    <row r="208" spans="1:11" ht="29" x14ac:dyDescent="0.35">
      <c r="A208" s="84" t="s">
        <v>18</v>
      </c>
      <c r="B208" s="91">
        <f>B181</f>
        <v>40290632.899999999</v>
      </c>
      <c r="C208" s="91">
        <f>C181</f>
        <v>1249956.32</v>
      </c>
      <c r="D208" s="91">
        <f t="shared" ref="D208:K208" si="26">D181</f>
        <v>1268021.1499999999</v>
      </c>
      <c r="E208" s="91">
        <f t="shared" si="26"/>
        <v>50451802.920000002</v>
      </c>
      <c r="F208" s="91">
        <f t="shared" si="26"/>
        <v>3151482.69</v>
      </c>
      <c r="G208" s="91">
        <f t="shared" si="26"/>
        <v>208053.3</v>
      </c>
      <c r="H208" s="91">
        <f t="shared" si="26"/>
        <v>2202132.36</v>
      </c>
      <c r="I208" s="91">
        <f t="shared" si="26"/>
        <v>20103763.129999999</v>
      </c>
      <c r="J208" s="91">
        <f t="shared" si="26"/>
        <v>13687890.239999998</v>
      </c>
      <c r="K208" s="91">
        <f t="shared" si="26"/>
        <v>132613735.00999998</v>
      </c>
    </row>
    <row r="209" spans="1:11" ht="29.5" thickBot="1" x14ac:dyDescent="0.4">
      <c r="A209" s="83" t="s">
        <v>28</v>
      </c>
      <c r="B209" s="92">
        <f>(B208-B207)/B207</f>
        <v>0.12436911925328101</v>
      </c>
      <c r="C209" s="89">
        <f t="shared" ref="C209:G209" si="27">(C208-C207)/C207</f>
        <v>1.3032264535600181E-2</v>
      </c>
      <c r="D209" s="92">
        <f t="shared" si="27"/>
        <v>-9.7702187472470531E-3</v>
      </c>
      <c r="E209" s="89">
        <f t="shared" si="27"/>
        <v>2.7031246570821732E-2</v>
      </c>
      <c r="F209" s="92">
        <f t="shared" si="27"/>
        <v>3.0521342894400862E-3</v>
      </c>
      <c r="G209" s="89">
        <f t="shared" si="27"/>
        <v>1.4089374155134033</v>
      </c>
      <c r="H209" s="92">
        <f>(H208-H207)/H207</f>
        <v>8.7967051262958645E-2</v>
      </c>
      <c r="I209" s="89">
        <f>(I208-I207)/I207</f>
        <v>-9.5904190273201989E-2</v>
      </c>
      <c r="J209" s="92">
        <f t="shared" ref="J209" si="28">(J208-J207)/J207</f>
        <v>-9.5640025981265323E-2</v>
      </c>
      <c r="K209" s="94">
        <f>(K208-K207)/K207</f>
        <v>1.9349564948466725E-2</v>
      </c>
    </row>
  </sheetData>
  <pageMargins left="0.7" right="0.7" top="0.75" bottom="0.75" header="0.3" footer="0.3"/>
  <pageSetup orientation="portrait" r:id="rId1"/>
  <ignoredErrors>
    <ignoredError sqref="B185:J193 K193 K2:K90 K91:K97 K98:K101 K103:K104 K106 J194 K107:K111 K113:K121 B194:I194 B195:I195 K122:K145 B196:I196 K146:K157 C197:K19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09"/>
  <sheetViews>
    <sheetView zoomScale="110" zoomScaleNormal="110" workbookViewId="0">
      <pane ySplit="1" topLeftCell="A183" activePane="bottomLeft" state="frozen"/>
      <selection pane="bottomLeft" activeCell="B208" sqref="B208"/>
    </sheetView>
  </sheetViews>
  <sheetFormatPr defaultColWidth="9" defaultRowHeight="14.5" x14ac:dyDescent="0.35"/>
  <cols>
    <col min="1" max="1" width="11.81640625" customWidth="1"/>
    <col min="2" max="2" width="16.453125" bestFit="1" customWidth="1"/>
    <col min="3" max="3" width="18.54296875" bestFit="1" customWidth="1"/>
    <col min="4" max="4" width="17.54296875" bestFit="1" customWidth="1"/>
    <col min="5" max="5" width="14" bestFit="1" customWidth="1"/>
    <col min="6" max="6" width="11.81640625" bestFit="1" customWidth="1"/>
    <col min="7" max="7" width="14.54296875" bestFit="1" customWidth="1"/>
    <col min="8" max="8" width="16.1796875" bestFit="1" customWidth="1"/>
    <col min="9" max="9" width="15" bestFit="1" customWidth="1"/>
  </cols>
  <sheetData>
    <row r="1" spans="1:9" ht="22.5" customHeight="1" x14ac:dyDescent="0.35">
      <c r="A1" s="32" t="s">
        <v>0</v>
      </c>
      <c r="B1" s="33" t="s">
        <v>229</v>
      </c>
      <c r="C1" s="34" t="s">
        <v>230</v>
      </c>
      <c r="D1" s="35" t="s">
        <v>231</v>
      </c>
      <c r="E1" s="35" t="s">
        <v>232</v>
      </c>
      <c r="F1" s="35" t="s">
        <v>233</v>
      </c>
      <c r="G1" s="35" t="s">
        <v>234</v>
      </c>
      <c r="H1" s="35" t="s">
        <v>235</v>
      </c>
      <c r="I1" s="33" t="s">
        <v>236</v>
      </c>
    </row>
    <row r="2" spans="1:9" x14ac:dyDescent="0.35">
      <c r="A2" s="7">
        <v>40179</v>
      </c>
      <c r="B2" s="11">
        <v>827276</v>
      </c>
      <c r="C2" s="9">
        <v>2348626</v>
      </c>
      <c r="D2" s="10">
        <v>58586</v>
      </c>
      <c r="E2" s="10">
        <v>1386072</v>
      </c>
      <c r="F2" s="10">
        <v>350260</v>
      </c>
      <c r="G2" s="10">
        <v>2228181</v>
      </c>
      <c r="H2" s="10">
        <v>5144357</v>
      </c>
      <c r="I2" s="11">
        <f t="shared" ref="I2:I33" si="0">SUM(B2:H2)</f>
        <v>12343358</v>
      </c>
    </row>
    <row r="3" spans="1:9" x14ac:dyDescent="0.35">
      <c r="A3" s="7">
        <v>40210</v>
      </c>
      <c r="B3" s="11">
        <v>538718</v>
      </c>
      <c r="C3" s="9">
        <v>2610948</v>
      </c>
      <c r="D3" s="10">
        <v>67815</v>
      </c>
      <c r="E3" s="10">
        <v>2235375</v>
      </c>
      <c r="F3" s="10">
        <v>553171</v>
      </c>
      <c r="G3" s="10">
        <v>2782475</v>
      </c>
      <c r="H3" s="10">
        <v>6080271</v>
      </c>
      <c r="I3" s="11">
        <f t="shared" si="0"/>
        <v>14868773</v>
      </c>
    </row>
    <row r="4" spans="1:9" x14ac:dyDescent="0.35">
      <c r="A4" s="7">
        <v>40238</v>
      </c>
      <c r="B4" s="11">
        <v>674073</v>
      </c>
      <c r="C4" s="9">
        <v>3790572</v>
      </c>
      <c r="D4" s="10">
        <v>86293</v>
      </c>
      <c r="E4" s="10">
        <v>2276359</v>
      </c>
      <c r="F4" s="10">
        <v>718135</v>
      </c>
      <c r="G4" s="10">
        <v>4059387</v>
      </c>
      <c r="H4" s="10">
        <v>7928310</v>
      </c>
      <c r="I4" s="11">
        <f t="shared" si="0"/>
        <v>19533129</v>
      </c>
    </row>
    <row r="5" spans="1:9" x14ac:dyDescent="0.35">
      <c r="A5" s="7">
        <v>40269</v>
      </c>
      <c r="B5" s="11">
        <v>831354</v>
      </c>
      <c r="C5" s="9">
        <v>3052644</v>
      </c>
      <c r="D5" s="10">
        <v>73240</v>
      </c>
      <c r="E5" s="10">
        <v>2001641</v>
      </c>
      <c r="F5" s="10">
        <v>482544</v>
      </c>
      <c r="G5" s="10">
        <v>2956163</v>
      </c>
      <c r="H5" s="10">
        <v>5882499</v>
      </c>
      <c r="I5" s="11">
        <f t="shared" si="0"/>
        <v>15280085</v>
      </c>
    </row>
    <row r="6" spans="1:9" x14ac:dyDescent="0.35">
      <c r="A6" s="7">
        <v>40299</v>
      </c>
      <c r="B6" s="11">
        <v>757808</v>
      </c>
      <c r="C6" s="9">
        <v>3126173</v>
      </c>
      <c r="D6" s="10">
        <v>83752</v>
      </c>
      <c r="E6" s="10">
        <v>1708729</v>
      </c>
      <c r="F6" s="10">
        <v>300634</v>
      </c>
      <c r="G6" s="10">
        <v>3113744</v>
      </c>
      <c r="H6" s="10">
        <v>6199063</v>
      </c>
      <c r="I6" s="11">
        <f t="shared" si="0"/>
        <v>15289903</v>
      </c>
    </row>
    <row r="7" spans="1:9" x14ac:dyDescent="0.35">
      <c r="A7" s="7">
        <v>40330</v>
      </c>
      <c r="B7" s="11">
        <v>617590</v>
      </c>
      <c r="C7" s="9">
        <v>3157183</v>
      </c>
      <c r="D7" s="10">
        <v>79932</v>
      </c>
      <c r="E7" s="10">
        <v>1611115</v>
      </c>
      <c r="F7" s="10">
        <v>426940</v>
      </c>
      <c r="G7" s="10">
        <v>3537366</v>
      </c>
      <c r="H7" s="10">
        <v>6838134</v>
      </c>
      <c r="I7" s="11">
        <f t="shared" si="0"/>
        <v>16268260</v>
      </c>
    </row>
    <row r="8" spans="1:9" x14ac:dyDescent="0.35">
      <c r="A8" s="7">
        <v>40360</v>
      </c>
      <c r="B8" s="11">
        <v>522713</v>
      </c>
      <c r="C8" s="9">
        <v>2455456</v>
      </c>
      <c r="D8" s="10">
        <v>62212</v>
      </c>
      <c r="E8" s="10">
        <v>1997644</v>
      </c>
      <c r="F8" s="10">
        <v>422571</v>
      </c>
      <c r="G8" s="10">
        <v>2828453</v>
      </c>
      <c r="H8" s="10">
        <v>6297490</v>
      </c>
      <c r="I8" s="11">
        <f t="shared" si="0"/>
        <v>14586539</v>
      </c>
    </row>
    <row r="9" spans="1:9" x14ac:dyDescent="0.35">
      <c r="A9" s="7">
        <v>40391</v>
      </c>
      <c r="B9" s="11">
        <v>500284</v>
      </c>
      <c r="C9" s="9">
        <v>2229211</v>
      </c>
      <c r="D9" s="10">
        <v>66889</v>
      </c>
      <c r="E9" s="10">
        <v>2141908</v>
      </c>
      <c r="F9" s="10">
        <v>363728</v>
      </c>
      <c r="G9" s="10">
        <v>2623504</v>
      </c>
      <c r="H9" s="10">
        <v>5830012</v>
      </c>
      <c r="I9" s="11">
        <f t="shared" si="0"/>
        <v>13755536</v>
      </c>
    </row>
    <row r="10" spans="1:9" x14ac:dyDescent="0.35">
      <c r="A10" s="7">
        <v>40422</v>
      </c>
      <c r="B10" s="11">
        <v>689439</v>
      </c>
      <c r="C10" s="9">
        <v>3487820</v>
      </c>
      <c r="D10" s="10">
        <v>70071</v>
      </c>
      <c r="E10" s="10">
        <v>1711682</v>
      </c>
      <c r="F10" s="10">
        <v>446566</v>
      </c>
      <c r="G10" s="10">
        <v>3290797</v>
      </c>
      <c r="H10" s="10">
        <v>6676909</v>
      </c>
      <c r="I10" s="11">
        <f t="shared" si="0"/>
        <v>16373284</v>
      </c>
    </row>
    <row r="11" spans="1:9" x14ac:dyDescent="0.35">
      <c r="A11" s="7">
        <v>40452</v>
      </c>
      <c r="B11" s="11">
        <v>635851</v>
      </c>
      <c r="C11" s="9">
        <v>3117453</v>
      </c>
      <c r="D11" s="10">
        <v>78784</v>
      </c>
      <c r="E11" s="10">
        <v>1735894</v>
      </c>
      <c r="F11" s="10">
        <v>609982</v>
      </c>
      <c r="G11" s="10">
        <v>2994571</v>
      </c>
      <c r="H11" s="10">
        <v>5963796</v>
      </c>
      <c r="I11" s="11">
        <f t="shared" si="0"/>
        <v>15136331</v>
      </c>
    </row>
    <row r="12" spans="1:9" x14ac:dyDescent="0.35">
      <c r="A12" s="7">
        <v>40483</v>
      </c>
      <c r="B12" s="11">
        <v>1004010</v>
      </c>
      <c r="C12" s="9">
        <v>3795940</v>
      </c>
      <c r="D12" s="10">
        <v>110057</v>
      </c>
      <c r="E12" s="10">
        <v>1954113</v>
      </c>
      <c r="F12" s="10">
        <v>655997</v>
      </c>
      <c r="G12" s="10">
        <v>4133631</v>
      </c>
      <c r="H12" s="10">
        <v>7829843</v>
      </c>
      <c r="I12" s="11">
        <f t="shared" si="0"/>
        <v>19483591</v>
      </c>
    </row>
    <row r="13" spans="1:9" x14ac:dyDescent="0.35">
      <c r="A13" s="7">
        <v>40513</v>
      </c>
      <c r="B13" s="11">
        <v>1165153</v>
      </c>
      <c r="C13" s="9">
        <v>6264425</v>
      </c>
      <c r="D13" s="10">
        <v>57794</v>
      </c>
      <c r="E13" s="10">
        <v>2901466</v>
      </c>
      <c r="F13" s="10">
        <v>742392</v>
      </c>
      <c r="G13" s="10">
        <v>5733018</v>
      </c>
      <c r="H13" s="10">
        <v>12591460</v>
      </c>
      <c r="I13" s="11">
        <f t="shared" si="0"/>
        <v>29455708</v>
      </c>
    </row>
    <row r="14" spans="1:9" x14ac:dyDescent="0.35">
      <c r="A14" s="7">
        <v>40544</v>
      </c>
      <c r="B14" s="11">
        <v>598292</v>
      </c>
      <c r="C14" s="9">
        <v>2641761</v>
      </c>
      <c r="D14" s="10">
        <v>57763</v>
      </c>
      <c r="E14" s="10">
        <v>1395734</v>
      </c>
      <c r="F14" s="10">
        <v>327582</v>
      </c>
      <c r="G14" s="10">
        <v>2204751</v>
      </c>
      <c r="H14" s="10">
        <v>5277057</v>
      </c>
      <c r="I14" s="11">
        <f t="shared" si="0"/>
        <v>12502940</v>
      </c>
    </row>
    <row r="15" spans="1:9" x14ac:dyDescent="0.35">
      <c r="A15" s="7">
        <v>40575</v>
      </c>
      <c r="B15" s="11">
        <v>889421</v>
      </c>
      <c r="C15" s="9">
        <v>3120977</v>
      </c>
      <c r="D15" s="10">
        <v>100262</v>
      </c>
      <c r="E15" s="10">
        <v>2234332</v>
      </c>
      <c r="F15" s="10">
        <v>568843</v>
      </c>
      <c r="G15" s="10">
        <v>2917885</v>
      </c>
      <c r="H15" s="10">
        <v>6900332</v>
      </c>
      <c r="I15" s="11">
        <f t="shared" si="0"/>
        <v>16732052</v>
      </c>
    </row>
    <row r="16" spans="1:9" x14ac:dyDescent="0.35">
      <c r="A16" s="7">
        <v>40603</v>
      </c>
      <c r="B16" s="11">
        <v>906901</v>
      </c>
      <c r="C16" s="9">
        <v>4292965</v>
      </c>
      <c r="D16" s="10">
        <v>76060</v>
      </c>
      <c r="E16" s="10">
        <v>2507520</v>
      </c>
      <c r="F16" s="10">
        <v>763128</v>
      </c>
      <c r="G16" s="10">
        <v>4017667</v>
      </c>
      <c r="H16" s="10">
        <v>8318445</v>
      </c>
      <c r="I16" s="11">
        <f t="shared" si="0"/>
        <v>20882686</v>
      </c>
    </row>
    <row r="17" spans="1:9" x14ac:dyDescent="0.35">
      <c r="A17" s="7">
        <v>40634</v>
      </c>
      <c r="B17" s="11">
        <v>881065</v>
      </c>
      <c r="C17" s="9">
        <v>3269238</v>
      </c>
      <c r="D17" s="10">
        <v>62935</v>
      </c>
      <c r="E17" s="10">
        <v>2040432</v>
      </c>
      <c r="F17" s="10">
        <v>587465</v>
      </c>
      <c r="G17" s="10">
        <v>3376934</v>
      </c>
      <c r="H17" s="10">
        <v>6949648</v>
      </c>
      <c r="I17" s="11">
        <f t="shared" si="0"/>
        <v>17167717</v>
      </c>
    </row>
    <row r="18" spans="1:9" x14ac:dyDescent="0.35">
      <c r="A18" s="7">
        <v>40664</v>
      </c>
      <c r="B18" s="11">
        <v>778295</v>
      </c>
      <c r="C18" s="9">
        <v>3814050</v>
      </c>
      <c r="D18" s="10">
        <v>86124</v>
      </c>
      <c r="E18" s="10">
        <v>1712273</v>
      </c>
      <c r="F18" s="10">
        <v>562137</v>
      </c>
      <c r="G18" s="10">
        <v>2811823</v>
      </c>
      <c r="H18" s="10">
        <v>6365249</v>
      </c>
      <c r="I18" s="11">
        <f t="shared" si="0"/>
        <v>16129951</v>
      </c>
    </row>
    <row r="19" spans="1:9" x14ac:dyDescent="0.35">
      <c r="A19" s="7">
        <v>40695</v>
      </c>
      <c r="B19" s="11">
        <v>775074</v>
      </c>
      <c r="C19" s="9">
        <v>3704663</v>
      </c>
      <c r="D19" s="10">
        <v>55861</v>
      </c>
      <c r="E19" s="10">
        <v>1730854</v>
      </c>
      <c r="F19" s="10">
        <v>454228</v>
      </c>
      <c r="G19" s="10">
        <v>3570325</v>
      </c>
      <c r="H19" s="10">
        <v>7120519</v>
      </c>
      <c r="I19" s="11">
        <f t="shared" si="0"/>
        <v>17411524</v>
      </c>
    </row>
    <row r="20" spans="1:9" x14ac:dyDescent="0.35">
      <c r="A20" s="7">
        <v>40725</v>
      </c>
      <c r="B20" s="11">
        <v>522713</v>
      </c>
      <c r="C20" s="9">
        <v>2455456</v>
      </c>
      <c r="D20" s="10">
        <v>62212</v>
      </c>
      <c r="E20" s="10">
        <v>1997644</v>
      </c>
      <c r="F20" s="10">
        <v>422571</v>
      </c>
      <c r="G20" s="10">
        <v>2800322</v>
      </c>
      <c r="H20" s="10">
        <v>6297748</v>
      </c>
      <c r="I20" s="11">
        <f t="shared" si="0"/>
        <v>14558666</v>
      </c>
    </row>
    <row r="21" spans="1:9" x14ac:dyDescent="0.35">
      <c r="A21" s="7">
        <v>40756</v>
      </c>
      <c r="B21" s="11">
        <v>725156</v>
      </c>
      <c r="C21" s="9">
        <v>2671627</v>
      </c>
      <c r="D21" s="10">
        <v>63538</v>
      </c>
      <c r="E21" s="10">
        <v>2325921</v>
      </c>
      <c r="F21" s="10">
        <v>401989</v>
      </c>
      <c r="G21" s="10">
        <v>2394629</v>
      </c>
      <c r="H21" s="10">
        <v>5993131</v>
      </c>
      <c r="I21" s="11">
        <f t="shared" si="0"/>
        <v>14575991</v>
      </c>
    </row>
    <row r="22" spans="1:9" x14ac:dyDescent="0.35">
      <c r="A22" s="7">
        <v>40787</v>
      </c>
      <c r="B22" s="11">
        <v>858153</v>
      </c>
      <c r="C22" s="9">
        <v>3684457</v>
      </c>
      <c r="D22" s="10">
        <v>60065</v>
      </c>
      <c r="E22" s="10">
        <v>1929348</v>
      </c>
      <c r="F22" s="10">
        <v>515260</v>
      </c>
      <c r="G22" s="10">
        <v>2948483</v>
      </c>
      <c r="H22" s="10">
        <v>6710470</v>
      </c>
      <c r="I22" s="11">
        <f t="shared" si="0"/>
        <v>16706236</v>
      </c>
    </row>
    <row r="23" spans="1:9" x14ac:dyDescent="0.35">
      <c r="A23" s="7">
        <v>40817</v>
      </c>
      <c r="B23" s="11">
        <v>680450</v>
      </c>
      <c r="C23" s="9">
        <v>3168606</v>
      </c>
      <c r="D23" s="10">
        <v>106700</v>
      </c>
      <c r="E23" s="10">
        <v>1854764</v>
      </c>
      <c r="F23" s="10">
        <v>665401</v>
      </c>
      <c r="G23" s="10">
        <v>2965465</v>
      </c>
      <c r="H23" s="10">
        <v>6482329</v>
      </c>
      <c r="I23" s="11">
        <f t="shared" si="0"/>
        <v>15923715</v>
      </c>
    </row>
    <row r="24" spans="1:9" x14ac:dyDescent="0.35">
      <c r="A24" s="7">
        <v>40848</v>
      </c>
      <c r="B24" s="11">
        <v>1007256</v>
      </c>
      <c r="C24" s="9">
        <v>3691703</v>
      </c>
      <c r="D24" s="10">
        <v>73845</v>
      </c>
      <c r="E24" s="10">
        <v>2027974</v>
      </c>
      <c r="F24" s="10">
        <v>667711</v>
      </c>
      <c r="G24" s="10">
        <v>3613254</v>
      </c>
      <c r="H24" s="10">
        <v>8531409</v>
      </c>
      <c r="I24" s="11">
        <f t="shared" si="0"/>
        <v>19613152</v>
      </c>
    </row>
    <row r="25" spans="1:9" x14ac:dyDescent="0.35">
      <c r="A25" s="7">
        <v>40878</v>
      </c>
      <c r="B25" s="11">
        <v>1484632</v>
      </c>
      <c r="C25" s="9">
        <v>5849767</v>
      </c>
      <c r="D25" s="10">
        <v>55310</v>
      </c>
      <c r="E25" s="10">
        <v>3051937</v>
      </c>
      <c r="F25" s="10">
        <v>933819</v>
      </c>
      <c r="G25" s="10">
        <v>5632627</v>
      </c>
      <c r="H25" s="10">
        <v>14896318</v>
      </c>
      <c r="I25" s="11">
        <f t="shared" si="0"/>
        <v>31904410</v>
      </c>
    </row>
    <row r="26" spans="1:9" x14ac:dyDescent="0.35">
      <c r="A26" s="7">
        <v>40909</v>
      </c>
      <c r="B26" s="11">
        <v>685100</v>
      </c>
      <c r="C26" s="9">
        <v>2623356</v>
      </c>
      <c r="D26" s="10">
        <v>49786</v>
      </c>
      <c r="E26" s="10">
        <v>1455748</v>
      </c>
      <c r="F26" s="10">
        <v>409282</v>
      </c>
      <c r="G26" s="10">
        <v>2058236</v>
      </c>
      <c r="H26" s="10">
        <v>5849584</v>
      </c>
      <c r="I26" s="11">
        <f t="shared" si="0"/>
        <v>13131092</v>
      </c>
    </row>
    <row r="27" spans="1:9" x14ac:dyDescent="0.35">
      <c r="A27" s="7">
        <v>40940</v>
      </c>
      <c r="B27" s="11">
        <v>678198</v>
      </c>
      <c r="C27" s="9">
        <v>3095629</v>
      </c>
      <c r="D27" s="10">
        <v>63713</v>
      </c>
      <c r="E27" s="10">
        <v>2552714</v>
      </c>
      <c r="F27" s="10">
        <v>694283</v>
      </c>
      <c r="G27" s="10">
        <v>2677364</v>
      </c>
      <c r="H27" s="10">
        <v>7555724</v>
      </c>
      <c r="I27" s="11">
        <f t="shared" si="0"/>
        <v>17317625</v>
      </c>
    </row>
    <row r="28" spans="1:9" x14ac:dyDescent="0.35">
      <c r="A28" s="7">
        <v>40969</v>
      </c>
      <c r="B28" s="11">
        <v>729763</v>
      </c>
      <c r="C28" s="9">
        <v>4614620</v>
      </c>
      <c r="D28" s="10">
        <v>58371</v>
      </c>
      <c r="E28" s="10">
        <v>2561298</v>
      </c>
      <c r="F28" s="10">
        <v>712256</v>
      </c>
      <c r="G28" s="10">
        <v>3978577</v>
      </c>
      <c r="H28" s="10">
        <v>9640305</v>
      </c>
      <c r="I28" s="11">
        <f t="shared" si="0"/>
        <v>22295190</v>
      </c>
    </row>
    <row r="29" spans="1:9" x14ac:dyDescent="0.35">
      <c r="A29" s="7">
        <v>41000</v>
      </c>
      <c r="B29" s="11">
        <v>1214529</v>
      </c>
      <c r="C29" s="9">
        <v>4203652</v>
      </c>
      <c r="D29" s="10">
        <v>299855</v>
      </c>
      <c r="E29" s="10">
        <v>2119854</v>
      </c>
      <c r="F29" s="10">
        <v>622608</v>
      </c>
      <c r="G29" s="10">
        <v>3160601</v>
      </c>
      <c r="H29" s="10">
        <v>8215363</v>
      </c>
      <c r="I29" s="11">
        <f t="shared" si="0"/>
        <v>19836462</v>
      </c>
    </row>
    <row r="30" spans="1:9" x14ac:dyDescent="0.35">
      <c r="A30" s="7">
        <v>41030</v>
      </c>
      <c r="B30" s="11">
        <v>911217</v>
      </c>
      <c r="C30" s="9">
        <v>3956091</v>
      </c>
      <c r="D30" s="10">
        <v>164744</v>
      </c>
      <c r="E30" s="10">
        <v>1892532</v>
      </c>
      <c r="F30" s="10">
        <v>498622</v>
      </c>
      <c r="G30" s="10">
        <v>2992041</v>
      </c>
      <c r="H30" s="10">
        <v>7726598</v>
      </c>
      <c r="I30" s="11">
        <f t="shared" si="0"/>
        <v>18141845</v>
      </c>
    </row>
    <row r="31" spans="1:9" x14ac:dyDescent="0.35">
      <c r="A31" s="7">
        <v>41061</v>
      </c>
      <c r="B31" s="11">
        <v>1073308</v>
      </c>
      <c r="C31" s="9">
        <v>4209781</v>
      </c>
      <c r="D31" s="10">
        <v>133748</v>
      </c>
      <c r="E31" s="10">
        <v>2104600</v>
      </c>
      <c r="F31" s="10">
        <v>575129</v>
      </c>
      <c r="G31" s="10">
        <v>3527617</v>
      </c>
      <c r="H31" s="10">
        <v>8391453</v>
      </c>
      <c r="I31" s="11">
        <f t="shared" si="0"/>
        <v>20015636</v>
      </c>
    </row>
    <row r="32" spans="1:9" x14ac:dyDescent="0.35">
      <c r="A32" s="7">
        <v>41091</v>
      </c>
      <c r="B32" s="11">
        <v>611327</v>
      </c>
      <c r="C32" s="9">
        <v>3342207</v>
      </c>
      <c r="D32" s="10">
        <v>130288</v>
      </c>
      <c r="E32" s="10">
        <v>2117278</v>
      </c>
      <c r="F32" s="10">
        <v>422888</v>
      </c>
      <c r="G32" s="10">
        <v>2960442</v>
      </c>
      <c r="H32" s="10">
        <v>7363855</v>
      </c>
      <c r="I32" s="11">
        <f t="shared" si="0"/>
        <v>16948285</v>
      </c>
    </row>
    <row r="33" spans="1:9" x14ac:dyDescent="0.35">
      <c r="A33" s="7">
        <v>41122</v>
      </c>
      <c r="B33" s="11">
        <v>760827</v>
      </c>
      <c r="C33" s="9">
        <v>3135389</v>
      </c>
      <c r="D33" s="10">
        <v>170899</v>
      </c>
      <c r="E33" s="10">
        <v>2500114</v>
      </c>
      <c r="F33" s="10">
        <v>478701</v>
      </c>
      <c r="G33" s="10">
        <v>2571271</v>
      </c>
      <c r="H33" s="10">
        <v>6627717</v>
      </c>
      <c r="I33" s="11">
        <f t="shared" si="0"/>
        <v>16244918</v>
      </c>
    </row>
    <row r="34" spans="1:9" x14ac:dyDescent="0.35">
      <c r="A34" s="7">
        <v>41153</v>
      </c>
      <c r="B34" s="11">
        <v>864127</v>
      </c>
      <c r="C34" s="9">
        <v>4185579</v>
      </c>
      <c r="D34" s="10">
        <v>121831</v>
      </c>
      <c r="E34" s="10">
        <v>1940935</v>
      </c>
      <c r="F34" s="10">
        <v>570972</v>
      </c>
      <c r="G34" s="10">
        <v>3123467</v>
      </c>
      <c r="H34" s="10">
        <v>7181891</v>
      </c>
      <c r="I34" s="11">
        <f t="shared" ref="I34:I65" si="1">SUM(B34:H34)</f>
        <v>17988802</v>
      </c>
    </row>
    <row r="35" spans="1:9" x14ac:dyDescent="0.35">
      <c r="A35" s="7">
        <v>41183</v>
      </c>
      <c r="B35" s="11">
        <v>787641</v>
      </c>
      <c r="C35" s="9">
        <v>3674847</v>
      </c>
      <c r="D35" s="10">
        <v>178783</v>
      </c>
      <c r="E35" s="10">
        <v>1963819</v>
      </c>
      <c r="F35" s="10">
        <v>669363</v>
      </c>
      <c r="G35" s="10">
        <v>2849577</v>
      </c>
      <c r="H35" s="10">
        <v>6772734</v>
      </c>
      <c r="I35" s="11">
        <f t="shared" si="1"/>
        <v>16896764</v>
      </c>
    </row>
    <row r="36" spans="1:9" x14ac:dyDescent="0.35">
      <c r="A36" s="7">
        <v>41214</v>
      </c>
      <c r="B36" s="11">
        <v>789491</v>
      </c>
      <c r="C36" s="9">
        <v>4288445</v>
      </c>
      <c r="D36" s="10">
        <v>195806</v>
      </c>
      <c r="E36" s="10">
        <v>2102658</v>
      </c>
      <c r="F36" s="10">
        <v>741205</v>
      </c>
      <c r="G36" s="10">
        <v>3866166</v>
      </c>
      <c r="H36" s="10">
        <v>8654708</v>
      </c>
      <c r="I36" s="11">
        <f t="shared" si="1"/>
        <v>20638479</v>
      </c>
    </row>
    <row r="37" spans="1:9" x14ac:dyDescent="0.35">
      <c r="A37" s="7">
        <v>41244</v>
      </c>
      <c r="B37" s="11">
        <v>1366650</v>
      </c>
      <c r="C37" s="9">
        <v>6443309</v>
      </c>
      <c r="D37" s="10">
        <v>308507</v>
      </c>
      <c r="E37" s="10">
        <v>3230453</v>
      </c>
      <c r="F37" s="10">
        <v>948921</v>
      </c>
      <c r="G37" s="10">
        <v>5145279</v>
      </c>
      <c r="H37" s="10">
        <v>13397149</v>
      </c>
      <c r="I37" s="11">
        <f t="shared" si="1"/>
        <v>30840268</v>
      </c>
    </row>
    <row r="38" spans="1:9" x14ac:dyDescent="0.35">
      <c r="A38" s="7">
        <v>41275</v>
      </c>
      <c r="B38" s="11">
        <v>1104914</v>
      </c>
      <c r="C38" s="9">
        <v>3666750</v>
      </c>
      <c r="D38" s="10">
        <v>184545</v>
      </c>
      <c r="E38" s="10">
        <v>1655599</v>
      </c>
      <c r="F38" s="10">
        <v>475760</v>
      </c>
      <c r="G38" s="10">
        <v>2679487</v>
      </c>
      <c r="H38" s="10">
        <v>6104417</v>
      </c>
      <c r="I38" s="11">
        <f t="shared" si="1"/>
        <v>15871472</v>
      </c>
    </row>
    <row r="39" spans="1:9" x14ac:dyDescent="0.35">
      <c r="A39" s="7">
        <v>41306</v>
      </c>
      <c r="B39" s="11">
        <v>681414</v>
      </c>
      <c r="C39" s="9">
        <v>3570486</v>
      </c>
      <c r="D39" s="10">
        <v>230888</v>
      </c>
      <c r="E39" s="10">
        <v>2242568</v>
      </c>
      <c r="F39" s="10">
        <v>599772</v>
      </c>
      <c r="G39" s="10">
        <v>2916908</v>
      </c>
      <c r="H39" s="10">
        <v>7209966</v>
      </c>
      <c r="I39" s="11">
        <f t="shared" si="1"/>
        <v>17452002</v>
      </c>
    </row>
    <row r="40" spans="1:9" x14ac:dyDescent="0.35">
      <c r="A40" s="7">
        <v>41334</v>
      </c>
      <c r="B40" s="11">
        <v>1157565</v>
      </c>
      <c r="C40" s="9">
        <v>5170797</v>
      </c>
      <c r="D40" s="10">
        <v>229458</v>
      </c>
      <c r="E40" s="10">
        <v>2873281</v>
      </c>
      <c r="F40" s="10">
        <v>832627</v>
      </c>
      <c r="G40" s="10">
        <v>4216698</v>
      </c>
      <c r="H40" s="10">
        <v>9800241</v>
      </c>
      <c r="I40" s="11">
        <f t="shared" si="1"/>
        <v>24280667</v>
      </c>
    </row>
    <row r="41" spans="1:9" x14ac:dyDescent="0.35">
      <c r="A41" s="7">
        <v>41365</v>
      </c>
      <c r="B41" s="11">
        <v>1013982</v>
      </c>
      <c r="C41" s="9">
        <v>4838010</v>
      </c>
      <c r="D41" s="10">
        <v>181367</v>
      </c>
      <c r="E41" s="10">
        <v>1997987</v>
      </c>
      <c r="F41" s="10">
        <v>519993</v>
      </c>
      <c r="G41" s="10">
        <v>2947829</v>
      </c>
      <c r="H41" s="10">
        <v>6946736</v>
      </c>
      <c r="I41" s="11">
        <f t="shared" si="1"/>
        <v>18445904</v>
      </c>
    </row>
    <row r="42" spans="1:9" x14ac:dyDescent="0.35">
      <c r="A42" s="7">
        <v>41395</v>
      </c>
      <c r="B42" s="11">
        <v>880471</v>
      </c>
      <c r="C42" s="9">
        <v>4093190</v>
      </c>
      <c r="D42" s="10">
        <v>157360</v>
      </c>
      <c r="E42" s="10">
        <v>2122530</v>
      </c>
      <c r="F42" s="10">
        <v>494964</v>
      </c>
      <c r="G42" s="10">
        <v>3291542</v>
      </c>
      <c r="H42" s="10">
        <v>7177636</v>
      </c>
      <c r="I42" s="11">
        <f t="shared" si="1"/>
        <v>18217693</v>
      </c>
    </row>
    <row r="43" spans="1:9" x14ac:dyDescent="0.35">
      <c r="A43" s="7">
        <v>41426</v>
      </c>
      <c r="B43" s="11">
        <v>825151</v>
      </c>
      <c r="C43" s="9">
        <v>4256327</v>
      </c>
      <c r="D43" s="10">
        <v>150357</v>
      </c>
      <c r="E43" s="10">
        <v>2087455</v>
      </c>
      <c r="F43" s="10">
        <v>571050</v>
      </c>
      <c r="G43" s="10">
        <v>3668313</v>
      </c>
      <c r="H43" s="10">
        <v>7567475</v>
      </c>
      <c r="I43" s="11">
        <f t="shared" si="1"/>
        <v>19126128</v>
      </c>
    </row>
    <row r="44" spans="1:9" x14ac:dyDescent="0.35">
      <c r="A44" s="7">
        <v>41456</v>
      </c>
      <c r="B44" s="11">
        <v>582807</v>
      </c>
      <c r="C44" s="9">
        <v>3132647</v>
      </c>
      <c r="D44" s="10">
        <v>136078</v>
      </c>
      <c r="E44" s="10">
        <v>2291939</v>
      </c>
      <c r="F44" s="10">
        <v>540596</v>
      </c>
      <c r="G44" s="10">
        <v>2888196</v>
      </c>
      <c r="H44" s="10">
        <v>6574397</v>
      </c>
      <c r="I44" s="11">
        <f t="shared" si="1"/>
        <v>16146660</v>
      </c>
    </row>
    <row r="45" spans="1:9" x14ac:dyDescent="0.35">
      <c r="A45" s="7">
        <v>41487</v>
      </c>
      <c r="B45" s="11">
        <v>648533</v>
      </c>
      <c r="C45" s="9">
        <v>3108221</v>
      </c>
      <c r="D45" s="10">
        <v>162267</v>
      </c>
      <c r="E45" s="10">
        <v>2565856</v>
      </c>
      <c r="F45" s="10">
        <v>490201</v>
      </c>
      <c r="G45" s="10">
        <v>2412025</v>
      </c>
      <c r="H45" s="10">
        <v>6467637</v>
      </c>
      <c r="I45" s="11">
        <f t="shared" si="1"/>
        <v>15854740</v>
      </c>
    </row>
    <row r="46" spans="1:9" x14ac:dyDescent="0.35">
      <c r="A46" s="7">
        <v>41518</v>
      </c>
      <c r="B46" s="11">
        <v>750612</v>
      </c>
      <c r="C46" s="9">
        <v>3938994</v>
      </c>
      <c r="D46" s="10">
        <v>123691</v>
      </c>
      <c r="E46" s="10">
        <v>2292421</v>
      </c>
      <c r="F46" s="10">
        <v>542063</v>
      </c>
      <c r="G46" s="10">
        <v>3010686</v>
      </c>
      <c r="H46" s="10">
        <v>7373109</v>
      </c>
      <c r="I46" s="11">
        <f t="shared" si="1"/>
        <v>18031576</v>
      </c>
    </row>
    <row r="47" spans="1:9" x14ac:dyDescent="0.35">
      <c r="A47" s="7">
        <v>41548</v>
      </c>
      <c r="B47" s="11">
        <v>1030596</v>
      </c>
      <c r="C47" s="9">
        <v>3675840</v>
      </c>
      <c r="D47" s="10">
        <v>146334</v>
      </c>
      <c r="E47" s="10">
        <v>2588786</v>
      </c>
      <c r="F47" s="10">
        <v>695467</v>
      </c>
      <c r="G47" s="10">
        <v>2934544</v>
      </c>
      <c r="H47" s="10">
        <v>7165140</v>
      </c>
      <c r="I47" s="11">
        <f t="shared" si="1"/>
        <v>18236707</v>
      </c>
    </row>
    <row r="48" spans="1:9" x14ac:dyDescent="0.35">
      <c r="A48" s="7">
        <v>41579</v>
      </c>
      <c r="B48" s="11">
        <v>1152752</v>
      </c>
      <c r="C48" s="9">
        <v>4798831</v>
      </c>
      <c r="D48" s="10">
        <v>170043</v>
      </c>
      <c r="E48" s="10">
        <v>2706929</v>
      </c>
      <c r="F48" s="10">
        <v>587502</v>
      </c>
      <c r="G48" s="10">
        <v>3947069</v>
      </c>
      <c r="H48" s="10">
        <v>9252861</v>
      </c>
      <c r="I48" s="11">
        <f t="shared" si="1"/>
        <v>22615987</v>
      </c>
    </row>
    <row r="49" spans="1:9" x14ac:dyDescent="0.35">
      <c r="A49" s="7">
        <v>41609</v>
      </c>
      <c r="B49" s="11">
        <v>1397782</v>
      </c>
      <c r="C49" s="9">
        <v>5982426</v>
      </c>
      <c r="D49" s="10">
        <v>211025</v>
      </c>
      <c r="E49" s="10">
        <v>3980448</v>
      </c>
      <c r="F49" s="10">
        <v>1120436</v>
      </c>
      <c r="G49" s="10">
        <v>4607667</v>
      </c>
      <c r="H49" s="10">
        <v>14418048</v>
      </c>
      <c r="I49" s="11">
        <f t="shared" si="1"/>
        <v>31717832</v>
      </c>
    </row>
    <row r="50" spans="1:9" x14ac:dyDescent="0.35">
      <c r="A50" s="7">
        <v>41640</v>
      </c>
      <c r="B50" s="11">
        <v>727689</v>
      </c>
      <c r="C50" s="9">
        <v>3156477</v>
      </c>
      <c r="D50" s="10">
        <v>112585</v>
      </c>
      <c r="E50" s="10">
        <v>1631258</v>
      </c>
      <c r="F50" s="10">
        <v>405960</v>
      </c>
      <c r="G50" s="10">
        <v>1865618</v>
      </c>
      <c r="H50" s="10">
        <v>5488006</v>
      </c>
      <c r="I50" s="11">
        <f t="shared" si="1"/>
        <v>13387593</v>
      </c>
    </row>
    <row r="51" spans="1:9" x14ac:dyDescent="0.35">
      <c r="A51" s="7">
        <v>41671</v>
      </c>
      <c r="B51" s="11">
        <v>1059232</v>
      </c>
      <c r="C51" s="9">
        <v>3634481</v>
      </c>
      <c r="D51" s="10">
        <v>224403</v>
      </c>
      <c r="E51" s="10">
        <v>3026703</v>
      </c>
      <c r="F51" s="10">
        <v>601587</v>
      </c>
      <c r="G51" s="10">
        <v>2529150</v>
      </c>
      <c r="H51" s="10">
        <v>7862366</v>
      </c>
      <c r="I51" s="11">
        <f t="shared" si="1"/>
        <v>18937922</v>
      </c>
    </row>
    <row r="52" spans="1:9" x14ac:dyDescent="0.35">
      <c r="A52" s="7">
        <v>41699</v>
      </c>
      <c r="B52" s="11">
        <v>905353</v>
      </c>
      <c r="C52" s="9">
        <v>4622205</v>
      </c>
      <c r="D52" s="10">
        <v>198397</v>
      </c>
      <c r="E52" s="10">
        <v>3325294</v>
      </c>
      <c r="F52" s="10">
        <v>729320</v>
      </c>
      <c r="G52" s="10">
        <v>3561180</v>
      </c>
      <c r="H52" s="10">
        <v>9322969</v>
      </c>
      <c r="I52" s="11">
        <f t="shared" si="1"/>
        <v>22664718</v>
      </c>
    </row>
    <row r="53" spans="1:9" x14ac:dyDescent="0.35">
      <c r="A53" s="7">
        <v>41730</v>
      </c>
      <c r="B53" s="11">
        <v>859924</v>
      </c>
      <c r="C53" s="9">
        <v>4189428</v>
      </c>
      <c r="D53" s="10">
        <v>185223</v>
      </c>
      <c r="E53" s="10">
        <v>2762562</v>
      </c>
      <c r="F53" s="10">
        <v>635190.81000000006</v>
      </c>
      <c r="G53" s="10">
        <v>2973001</v>
      </c>
      <c r="H53" s="10">
        <v>8152383</v>
      </c>
      <c r="I53" s="11">
        <f t="shared" si="1"/>
        <v>19757711.810000002</v>
      </c>
    </row>
    <row r="54" spans="1:9" x14ac:dyDescent="0.35">
      <c r="A54" s="7">
        <v>41760</v>
      </c>
      <c r="B54" s="11">
        <v>911902</v>
      </c>
      <c r="C54" s="9">
        <v>4366183</v>
      </c>
      <c r="D54" s="10">
        <v>134809</v>
      </c>
      <c r="E54" s="10">
        <v>2475261</v>
      </c>
      <c r="F54" s="10">
        <v>481981</v>
      </c>
      <c r="G54" s="10">
        <v>2637636</v>
      </c>
      <c r="H54" s="10">
        <v>7639989</v>
      </c>
      <c r="I54" s="11">
        <f t="shared" si="1"/>
        <v>18647761</v>
      </c>
    </row>
    <row r="55" spans="1:9" x14ac:dyDescent="0.35">
      <c r="A55" s="7">
        <v>41791</v>
      </c>
      <c r="B55" s="11">
        <v>787924</v>
      </c>
      <c r="C55" s="9">
        <v>4029539</v>
      </c>
      <c r="D55" s="10">
        <v>59043</v>
      </c>
      <c r="E55" s="10">
        <v>2560431</v>
      </c>
      <c r="F55" s="10">
        <v>538526</v>
      </c>
      <c r="G55" s="10">
        <v>3509933</v>
      </c>
      <c r="H55" s="10">
        <v>8328548</v>
      </c>
      <c r="I55" s="11">
        <f t="shared" si="1"/>
        <v>19813944</v>
      </c>
    </row>
    <row r="56" spans="1:9" x14ac:dyDescent="0.35">
      <c r="A56" s="7">
        <v>41821</v>
      </c>
      <c r="B56" s="11">
        <v>678032</v>
      </c>
      <c r="C56" s="9">
        <v>2950973</v>
      </c>
      <c r="D56" s="10">
        <v>190517</v>
      </c>
      <c r="E56" s="10">
        <v>2857222</v>
      </c>
      <c r="F56" s="10">
        <v>474148</v>
      </c>
      <c r="G56" s="10">
        <v>2805110</v>
      </c>
      <c r="H56" s="10">
        <v>6862323</v>
      </c>
      <c r="I56" s="11">
        <f t="shared" si="1"/>
        <v>16818325</v>
      </c>
    </row>
    <row r="57" spans="1:9" x14ac:dyDescent="0.35">
      <c r="A57" s="7">
        <v>41852</v>
      </c>
      <c r="B57" s="11">
        <v>789319</v>
      </c>
      <c r="C57" s="9">
        <v>2851981</v>
      </c>
      <c r="D57" s="10">
        <v>309459</v>
      </c>
      <c r="E57" s="10">
        <v>2937938</v>
      </c>
      <c r="F57" s="10">
        <v>469561</v>
      </c>
      <c r="G57" s="10">
        <v>2216957</v>
      </c>
      <c r="H57" s="10">
        <v>7037344</v>
      </c>
      <c r="I57" s="11">
        <f t="shared" si="1"/>
        <v>16612559</v>
      </c>
    </row>
    <row r="58" spans="1:9" x14ac:dyDescent="0.35">
      <c r="A58" s="7">
        <v>41883</v>
      </c>
      <c r="B58" s="11">
        <v>787684</v>
      </c>
      <c r="C58" s="9">
        <v>3447638</v>
      </c>
      <c r="D58" s="10">
        <v>116926</v>
      </c>
      <c r="E58" s="10">
        <v>2401894</v>
      </c>
      <c r="F58" s="10">
        <v>567190</v>
      </c>
      <c r="G58" s="10">
        <v>2904164</v>
      </c>
      <c r="H58" s="10">
        <v>8856614</v>
      </c>
      <c r="I58" s="11">
        <f t="shared" si="1"/>
        <v>19082110</v>
      </c>
    </row>
    <row r="59" spans="1:9" x14ac:dyDescent="0.35">
      <c r="A59" s="7">
        <v>41913</v>
      </c>
      <c r="B59" s="11">
        <v>773827</v>
      </c>
      <c r="C59" s="9">
        <v>3101623</v>
      </c>
      <c r="D59" s="10">
        <v>175879</v>
      </c>
      <c r="E59" s="10">
        <v>2362120</v>
      </c>
      <c r="F59" s="10">
        <v>1109977</v>
      </c>
      <c r="G59" s="10">
        <v>2573506</v>
      </c>
      <c r="H59" s="10">
        <v>7506883</v>
      </c>
      <c r="I59" s="11">
        <f t="shared" si="1"/>
        <v>17603815</v>
      </c>
    </row>
    <row r="60" spans="1:9" x14ac:dyDescent="0.35">
      <c r="A60" s="7">
        <v>41944</v>
      </c>
      <c r="B60" s="11">
        <v>1221503</v>
      </c>
      <c r="C60" s="9">
        <v>4114488</v>
      </c>
      <c r="D60" s="10">
        <v>191296</v>
      </c>
      <c r="E60" s="10">
        <v>3101486</v>
      </c>
      <c r="F60" s="10">
        <v>1128026</v>
      </c>
      <c r="G60" s="10">
        <v>4203940</v>
      </c>
      <c r="H60" s="10">
        <v>8352794</v>
      </c>
      <c r="I60" s="11">
        <f t="shared" si="1"/>
        <v>22313533</v>
      </c>
    </row>
    <row r="61" spans="1:9" x14ac:dyDescent="0.35">
      <c r="A61" s="7">
        <v>41974</v>
      </c>
      <c r="B61" s="11">
        <v>1458289</v>
      </c>
      <c r="C61" s="9">
        <v>5678341</v>
      </c>
      <c r="D61" s="10">
        <v>79813</v>
      </c>
      <c r="E61" s="10">
        <v>4091006</v>
      </c>
      <c r="F61" s="10">
        <v>1192842</v>
      </c>
      <c r="G61" s="10">
        <v>4404358</v>
      </c>
      <c r="H61" s="10">
        <v>14294905</v>
      </c>
      <c r="I61" s="11">
        <f t="shared" si="1"/>
        <v>31199554</v>
      </c>
    </row>
    <row r="62" spans="1:9" x14ac:dyDescent="0.35">
      <c r="A62" s="7">
        <v>42005</v>
      </c>
      <c r="B62" s="11">
        <v>1207701</v>
      </c>
      <c r="C62" s="9">
        <v>2618493</v>
      </c>
      <c r="D62" s="10">
        <v>225739</v>
      </c>
      <c r="E62" s="10">
        <v>1905049</v>
      </c>
      <c r="F62" s="10">
        <v>486239</v>
      </c>
      <c r="G62" s="10">
        <v>1877405</v>
      </c>
      <c r="H62" s="10">
        <v>6066065</v>
      </c>
      <c r="I62" s="11">
        <f t="shared" si="1"/>
        <v>14386691</v>
      </c>
    </row>
    <row r="63" spans="1:9" x14ac:dyDescent="0.35">
      <c r="A63" s="7">
        <v>42036</v>
      </c>
      <c r="B63" s="11">
        <v>971636</v>
      </c>
      <c r="C63" s="9">
        <v>3207304</v>
      </c>
      <c r="D63" s="10">
        <v>338270</v>
      </c>
      <c r="E63" s="10">
        <v>3024216</v>
      </c>
      <c r="F63" s="10">
        <v>834238</v>
      </c>
      <c r="G63" s="10">
        <v>1483997</v>
      </c>
      <c r="H63" s="10">
        <v>7520736</v>
      </c>
      <c r="I63" s="11">
        <f t="shared" si="1"/>
        <v>17380397</v>
      </c>
    </row>
    <row r="64" spans="1:9" x14ac:dyDescent="0.35">
      <c r="A64" s="7">
        <v>42064</v>
      </c>
      <c r="B64" s="11">
        <v>1049296</v>
      </c>
      <c r="C64" s="9">
        <v>4604779</v>
      </c>
      <c r="D64" s="10">
        <v>194819</v>
      </c>
      <c r="E64" s="10">
        <v>3240344</v>
      </c>
      <c r="F64" s="10">
        <v>1168476</v>
      </c>
      <c r="G64" s="10">
        <v>3668678</v>
      </c>
      <c r="H64" s="10">
        <v>9644100</v>
      </c>
      <c r="I64" s="11">
        <f t="shared" si="1"/>
        <v>23570492</v>
      </c>
    </row>
    <row r="65" spans="1:9" x14ac:dyDescent="0.35">
      <c r="A65" s="7">
        <v>42095</v>
      </c>
      <c r="B65" s="11">
        <v>1051647</v>
      </c>
      <c r="C65" s="9">
        <v>3321675</v>
      </c>
      <c r="D65" s="10">
        <v>171810</v>
      </c>
      <c r="E65" s="10">
        <v>2346539</v>
      </c>
      <c r="F65" s="10">
        <v>669853</v>
      </c>
      <c r="G65" s="10">
        <v>2662692</v>
      </c>
      <c r="H65" s="10">
        <v>8455281</v>
      </c>
      <c r="I65" s="11">
        <f t="shared" si="1"/>
        <v>18679497</v>
      </c>
    </row>
    <row r="66" spans="1:9" x14ac:dyDescent="0.35">
      <c r="A66" s="7">
        <v>42125</v>
      </c>
      <c r="B66" s="11">
        <v>871128</v>
      </c>
      <c r="C66" s="9">
        <v>3759723</v>
      </c>
      <c r="D66" s="10">
        <v>54279</v>
      </c>
      <c r="E66" s="10">
        <v>2234862</v>
      </c>
      <c r="F66" s="10">
        <v>607093</v>
      </c>
      <c r="G66" s="10">
        <v>2707647</v>
      </c>
      <c r="H66" s="10">
        <v>6953953</v>
      </c>
      <c r="I66" s="11">
        <f t="shared" ref="I66:I79" si="2">SUM(B66:H66)</f>
        <v>17188685</v>
      </c>
    </row>
    <row r="67" spans="1:9" x14ac:dyDescent="0.35">
      <c r="A67" s="7">
        <v>42156</v>
      </c>
      <c r="B67" s="11">
        <v>854822.95</v>
      </c>
      <c r="C67" s="9">
        <v>4648162.7699999996</v>
      </c>
      <c r="D67" s="10">
        <v>115726.76</v>
      </c>
      <c r="E67" s="10">
        <v>2089169.95</v>
      </c>
      <c r="F67" s="10">
        <v>650464.93999999994</v>
      </c>
      <c r="G67" s="10">
        <v>1733757.02</v>
      </c>
      <c r="H67" s="10">
        <v>7472946.46</v>
      </c>
      <c r="I67" s="11">
        <f t="shared" si="2"/>
        <v>17565050.849999998</v>
      </c>
    </row>
    <row r="68" spans="1:9" x14ac:dyDescent="0.35">
      <c r="A68" s="7">
        <v>42186</v>
      </c>
      <c r="B68" s="11">
        <v>656765</v>
      </c>
      <c r="C68" s="9">
        <v>2773848</v>
      </c>
      <c r="D68" s="10">
        <v>137570</v>
      </c>
      <c r="E68" s="10">
        <v>2443566</v>
      </c>
      <c r="F68" s="10">
        <v>581901</v>
      </c>
      <c r="G68" s="10">
        <v>2519645</v>
      </c>
      <c r="H68" s="10">
        <v>6702512</v>
      </c>
      <c r="I68" s="11">
        <f t="shared" si="2"/>
        <v>15815807</v>
      </c>
    </row>
    <row r="69" spans="1:9" x14ac:dyDescent="0.35">
      <c r="A69" s="7">
        <v>42217</v>
      </c>
      <c r="B69" s="11">
        <v>702941</v>
      </c>
      <c r="C69" s="9">
        <v>2670042</v>
      </c>
      <c r="D69" s="10">
        <v>160041</v>
      </c>
      <c r="E69" s="10">
        <v>2781137</v>
      </c>
      <c r="F69" s="10">
        <v>594927</v>
      </c>
      <c r="G69" s="10">
        <v>2193672</v>
      </c>
      <c r="H69" s="10">
        <v>6082440</v>
      </c>
      <c r="I69" s="11">
        <f t="shared" si="2"/>
        <v>15185200</v>
      </c>
    </row>
    <row r="70" spans="1:9" x14ac:dyDescent="0.35">
      <c r="A70" s="7">
        <v>42248</v>
      </c>
      <c r="B70" s="11">
        <v>816710.76</v>
      </c>
      <c r="C70" s="9">
        <v>3334570</v>
      </c>
      <c r="D70" s="10">
        <v>98279</v>
      </c>
      <c r="E70" s="10">
        <v>1975450</v>
      </c>
      <c r="F70" s="10">
        <v>743962</v>
      </c>
      <c r="G70" s="10">
        <v>2529354</v>
      </c>
      <c r="H70" s="10">
        <v>7363195</v>
      </c>
      <c r="I70" s="11">
        <f t="shared" si="2"/>
        <v>16861520.759999998</v>
      </c>
    </row>
    <row r="71" spans="1:9" x14ac:dyDescent="0.35">
      <c r="A71" s="7">
        <v>42278</v>
      </c>
      <c r="B71" s="11">
        <v>839703</v>
      </c>
      <c r="C71" s="9">
        <v>3399571</v>
      </c>
      <c r="D71" s="10">
        <v>118319</v>
      </c>
      <c r="E71" s="10">
        <v>1898231</v>
      </c>
      <c r="F71" s="10">
        <v>783901</v>
      </c>
      <c r="G71" s="10">
        <v>2213340</v>
      </c>
      <c r="H71" s="10">
        <v>6261992</v>
      </c>
      <c r="I71" s="11">
        <f t="shared" si="2"/>
        <v>15515057</v>
      </c>
    </row>
    <row r="72" spans="1:9" x14ac:dyDescent="0.35">
      <c r="A72" s="7">
        <v>42309</v>
      </c>
      <c r="B72" s="11">
        <v>780195</v>
      </c>
      <c r="C72" s="9">
        <v>4437595</v>
      </c>
      <c r="D72" s="10">
        <v>154982</v>
      </c>
      <c r="E72" s="10">
        <v>2504856</v>
      </c>
      <c r="F72" s="10">
        <v>962997</v>
      </c>
      <c r="G72" s="10">
        <v>3305802</v>
      </c>
      <c r="H72" s="10">
        <v>8118180</v>
      </c>
      <c r="I72" s="11">
        <f t="shared" si="2"/>
        <v>20264607</v>
      </c>
    </row>
    <row r="73" spans="1:9" x14ac:dyDescent="0.35">
      <c r="A73" s="7">
        <v>42339</v>
      </c>
      <c r="B73" s="11">
        <v>1331880.52</v>
      </c>
      <c r="C73" s="9">
        <v>6196705.8499999996</v>
      </c>
      <c r="D73" s="10">
        <v>218115.57</v>
      </c>
      <c r="E73" s="10">
        <v>3758479.42</v>
      </c>
      <c r="F73" s="10">
        <v>1100087.7</v>
      </c>
      <c r="G73" s="10">
        <v>3919841.48</v>
      </c>
      <c r="H73" s="10">
        <v>13049376.92</v>
      </c>
      <c r="I73" s="11">
        <f t="shared" si="2"/>
        <v>29574487.460000001</v>
      </c>
    </row>
    <row r="74" spans="1:9" x14ac:dyDescent="0.35">
      <c r="A74" s="7">
        <v>42370</v>
      </c>
      <c r="B74" s="11">
        <v>1815670</v>
      </c>
      <c r="C74" s="9">
        <v>2671389</v>
      </c>
      <c r="D74" s="10">
        <v>103089</v>
      </c>
      <c r="E74" s="10">
        <v>1742435</v>
      </c>
      <c r="F74" s="10">
        <v>531456</v>
      </c>
      <c r="G74" s="10">
        <v>1771512</v>
      </c>
      <c r="H74" s="10">
        <v>5336238</v>
      </c>
      <c r="I74" s="11">
        <f t="shared" si="2"/>
        <v>13971789</v>
      </c>
    </row>
    <row r="75" spans="1:9" x14ac:dyDescent="0.35">
      <c r="A75" s="7">
        <v>42401</v>
      </c>
      <c r="B75" s="11">
        <v>803908.91</v>
      </c>
      <c r="C75" s="9">
        <v>3641783.09</v>
      </c>
      <c r="D75" s="10">
        <v>252805.26</v>
      </c>
      <c r="E75" s="10">
        <v>2557866.6800000002</v>
      </c>
      <c r="F75" s="10">
        <v>754013.22</v>
      </c>
      <c r="G75" s="10">
        <v>2178478.6</v>
      </c>
      <c r="H75" s="10">
        <v>6315217.4699999997</v>
      </c>
      <c r="I75" s="11">
        <f t="shared" si="2"/>
        <v>16504073.23</v>
      </c>
    </row>
    <row r="76" spans="1:9" x14ac:dyDescent="0.35">
      <c r="A76" s="7">
        <v>42430</v>
      </c>
      <c r="B76" s="11">
        <v>1187629.8799999999</v>
      </c>
      <c r="C76" s="9">
        <v>4716969.87</v>
      </c>
      <c r="D76" s="10">
        <v>154271.29999999999</v>
      </c>
      <c r="E76" s="10">
        <v>3373683.6</v>
      </c>
      <c r="F76" s="10">
        <v>1091725.3600000001</v>
      </c>
      <c r="G76" s="10">
        <v>3262157.57</v>
      </c>
      <c r="H76" s="10">
        <v>8527954.9500000011</v>
      </c>
      <c r="I76" s="11">
        <f t="shared" si="2"/>
        <v>22314392.530000001</v>
      </c>
    </row>
    <row r="77" spans="1:9" x14ac:dyDescent="0.35">
      <c r="A77" s="7">
        <v>42461</v>
      </c>
      <c r="B77" s="11">
        <v>1075025</v>
      </c>
      <c r="C77" s="9">
        <v>3362855</v>
      </c>
      <c r="D77" s="10">
        <v>122664</v>
      </c>
      <c r="E77" s="10">
        <v>2632827</v>
      </c>
      <c r="F77" s="10">
        <v>584225</v>
      </c>
      <c r="G77" s="10">
        <v>2306495</v>
      </c>
      <c r="H77" s="10">
        <v>7221217</v>
      </c>
      <c r="I77" s="11">
        <f t="shared" si="2"/>
        <v>17305308</v>
      </c>
    </row>
    <row r="78" spans="1:9" x14ac:dyDescent="0.35">
      <c r="A78" s="7">
        <v>42491</v>
      </c>
      <c r="B78" s="11">
        <v>943453.18</v>
      </c>
      <c r="C78" s="9">
        <v>3671615.82</v>
      </c>
      <c r="D78" s="10">
        <v>106478.23</v>
      </c>
      <c r="E78" s="10">
        <v>2121034.1</v>
      </c>
      <c r="F78" s="10">
        <v>612434.52</v>
      </c>
      <c r="G78" s="10">
        <v>2540575.23</v>
      </c>
      <c r="H78" s="10">
        <v>7121647.6399999997</v>
      </c>
      <c r="I78" s="11">
        <f t="shared" si="2"/>
        <v>17117238.719999999</v>
      </c>
    </row>
    <row r="79" spans="1:9" x14ac:dyDescent="0.35">
      <c r="A79" s="7">
        <v>42522</v>
      </c>
      <c r="B79" s="11">
        <v>851965.17</v>
      </c>
      <c r="C79" s="9">
        <v>3757326.13</v>
      </c>
      <c r="D79" s="10">
        <v>121127.45</v>
      </c>
      <c r="E79" s="10">
        <v>2120233.0699999998</v>
      </c>
      <c r="F79" s="10">
        <v>614113.54</v>
      </c>
      <c r="G79" s="10">
        <v>2971160.07</v>
      </c>
      <c r="H79" s="10">
        <v>7491599.2599999998</v>
      </c>
      <c r="I79" s="11">
        <f t="shared" si="2"/>
        <v>17927524.689999998</v>
      </c>
    </row>
    <row r="80" spans="1:9" x14ac:dyDescent="0.35">
      <c r="A80" s="7">
        <v>42552</v>
      </c>
      <c r="B80" s="11">
        <v>681172</v>
      </c>
      <c r="C80" s="9">
        <v>2790060</v>
      </c>
      <c r="D80" s="10">
        <v>126784</v>
      </c>
      <c r="E80" s="10">
        <v>2737980</v>
      </c>
      <c r="F80" s="10">
        <v>586744</v>
      </c>
      <c r="G80" s="10">
        <v>2413369</v>
      </c>
      <c r="H80" s="10">
        <v>6993465</v>
      </c>
      <c r="I80" s="11">
        <f>SUM(B80:H80)</f>
        <v>16329574</v>
      </c>
    </row>
    <row r="81" spans="1:9" x14ac:dyDescent="0.35">
      <c r="A81" s="7">
        <v>42583</v>
      </c>
      <c r="B81" s="11">
        <v>607230</v>
      </c>
      <c r="C81" s="9">
        <v>2598751</v>
      </c>
      <c r="D81" s="10">
        <v>125154</v>
      </c>
      <c r="E81" s="10">
        <v>2488100</v>
      </c>
      <c r="F81" s="10">
        <v>482078</v>
      </c>
      <c r="G81" s="10">
        <v>1880110</v>
      </c>
      <c r="H81" s="10">
        <v>5566102</v>
      </c>
      <c r="I81" s="11">
        <f>SUM(B81:H81)</f>
        <v>13747525</v>
      </c>
    </row>
    <row r="82" spans="1:9" x14ac:dyDescent="0.35">
      <c r="A82" s="7">
        <v>42614</v>
      </c>
      <c r="B82" s="11">
        <v>823798.71</v>
      </c>
      <c r="C82" s="9">
        <v>3678250.29</v>
      </c>
      <c r="D82" s="10">
        <v>101472.73</v>
      </c>
      <c r="E82" s="10">
        <v>2365293.4700000002</v>
      </c>
      <c r="F82" s="10">
        <v>683960.5</v>
      </c>
      <c r="G82" s="10">
        <v>2928573.85</v>
      </c>
      <c r="H82" s="10">
        <v>7673915.3600000003</v>
      </c>
      <c r="I82" s="11">
        <f t="shared" ref="I82:I87" si="3">SUM(B82:H82)</f>
        <v>18255264.91</v>
      </c>
    </row>
    <row r="83" spans="1:9" x14ac:dyDescent="0.35">
      <c r="A83" s="7">
        <v>42644</v>
      </c>
      <c r="B83" s="11">
        <v>904848.92</v>
      </c>
      <c r="C83" s="9">
        <v>3452675.13</v>
      </c>
      <c r="D83" s="10">
        <v>121529.27</v>
      </c>
      <c r="E83" s="10">
        <v>1940738.99</v>
      </c>
      <c r="F83" s="10">
        <v>801151.05</v>
      </c>
      <c r="G83" s="10">
        <v>2395694.9900000002</v>
      </c>
      <c r="H83" s="10">
        <v>7003183.9800000004</v>
      </c>
      <c r="I83" s="11">
        <f t="shared" si="3"/>
        <v>16619822.33</v>
      </c>
    </row>
    <row r="84" spans="1:9" x14ac:dyDescent="0.35">
      <c r="A84" s="7">
        <v>42675</v>
      </c>
      <c r="B84" s="11">
        <v>929888</v>
      </c>
      <c r="C84" s="9">
        <v>4411852</v>
      </c>
      <c r="D84" s="10">
        <v>149469</v>
      </c>
      <c r="E84" s="10">
        <v>2284129</v>
      </c>
      <c r="F84" s="10">
        <v>971581</v>
      </c>
      <c r="G84" s="10">
        <v>3147543</v>
      </c>
      <c r="H84" s="10">
        <v>8360210</v>
      </c>
      <c r="I84" s="11">
        <f>SUM(B84:H84)</f>
        <v>20254672</v>
      </c>
    </row>
    <row r="85" spans="1:9" ht="15" thickBot="1" x14ac:dyDescent="0.4">
      <c r="A85" s="15">
        <v>42705</v>
      </c>
      <c r="B85" s="54">
        <v>1447527</v>
      </c>
      <c r="C85" s="73">
        <v>5861126</v>
      </c>
      <c r="D85" s="74">
        <v>213227</v>
      </c>
      <c r="E85" s="74">
        <v>3297140</v>
      </c>
      <c r="F85" s="74">
        <v>964993</v>
      </c>
      <c r="G85" s="74">
        <v>3908275</v>
      </c>
      <c r="H85" s="74">
        <v>13085977</v>
      </c>
      <c r="I85" s="54">
        <f t="shared" si="3"/>
        <v>28778265</v>
      </c>
    </row>
    <row r="86" spans="1:9" x14ac:dyDescent="0.35">
      <c r="A86" s="42">
        <v>42736</v>
      </c>
      <c r="B86" s="37">
        <v>864936.51</v>
      </c>
      <c r="C86" s="44">
        <v>2385157.5299999998</v>
      </c>
      <c r="D86" s="45">
        <v>78933.039999999994</v>
      </c>
      <c r="E86" s="45">
        <v>1519937.47</v>
      </c>
      <c r="F86" s="45">
        <v>512880.65</v>
      </c>
      <c r="G86" s="45">
        <v>1574173.59</v>
      </c>
      <c r="H86" s="45">
        <v>4865401.6899999995</v>
      </c>
      <c r="I86" s="37">
        <f t="shared" si="3"/>
        <v>11801420.48</v>
      </c>
    </row>
    <row r="87" spans="1:9" x14ac:dyDescent="0.35">
      <c r="A87" s="7">
        <v>42767</v>
      </c>
      <c r="B87" s="11">
        <v>845469.94</v>
      </c>
      <c r="C87" s="9">
        <v>3113846.26</v>
      </c>
      <c r="D87" s="10">
        <v>188598.64</v>
      </c>
      <c r="E87" s="10">
        <v>2018808.56</v>
      </c>
      <c r="F87" s="10">
        <v>555177.67000000004</v>
      </c>
      <c r="G87" s="10">
        <v>1935392.14</v>
      </c>
      <c r="H87" s="10">
        <v>5946939.9000000004</v>
      </c>
      <c r="I87" s="11">
        <f t="shared" si="3"/>
        <v>14604233.110000001</v>
      </c>
    </row>
    <row r="88" spans="1:9" x14ac:dyDescent="0.35">
      <c r="A88" s="7">
        <v>42795</v>
      </c>
      <c r="B88" s="11">
        <v>995838.58</v>
      </c>
      <c r="C88" s="9">
        <v>4069201.68</v>
      </c>
      <c r="D88" s="10">
        <v>171983.45</v>
      </c>
      <c r="E88" s="10">
        <v>2920349.6</v>
      </c>
      <c r="F88" s="10">
        <v>941240.34</v>
      </c>
      <c r="G88" s="10">
        <v>3039049.84</v>
      </c>
      <c r="H88" s="10">
        <v>7781225.4199999999</v>
      </c>
      <c r="I88" s="11">
        <f>SUM(B88:H88)</f>
        <v>19918888.91</v>
      </c>
    </row>
    <row r="89" spans="1:9" x14ac:dyDescent="0.35">
      <c r="A89" s="7">
        <v>42826</v>
      </c>
      <c r="B89" s="11">
        <v>982701.95</v>
      </c>
      <c r="C89" s="9">
        <v>3434875.7</v>
      </c>
      <c r="D89" s="10">
        <v>155332.28</v>
      </c>
      <c r="E89" s="10">
        <v>2236729.54</v>
      </c>
      <c r="F89" s="10">
        <v>768509.95</v>
      </c>
      <c r="G89" s="10">
        <v>2624217.69</v>
      </c>
      <c r="H89" s="10">
        <v>6504286.4499999993</v>
      </c>
      <c r="I89" s="11">
        <f>SUM(B89:H89)</f>
        <v>16706653.560000001</v>
      </c>
    </row>
    <row r="90" spans="1:9" x14ac:dyDescent="0.35">
      <c r="A90" s="7">
        <v>42856</v>
      </c>
      <c r="B90" s="11">
        <v>824255.16</v>
      </c>
      <c r="C90" s="9">
        <v>3283286.91</v>
      </c>
      <c r="D90" s="10">
        <v>99751.74</v>
      </c>
      <c r="E90" s="10">
        <v>1866366.36</v>
      </c>
      <c r="F90" s="10">
        <v>560130.19999999995</v>
      </c>
      <c r="G90" s="10">
        <v>2409821.67</v>
      </c>
      <c r="H90" s="10">
        <v>6184212.9100000001</v>
      </c>
      <c r="I90" s="11">
        <f>SUM(B90:H90)</f>
        <v>15227824.950000001</v>
      </c>
    </row>
    <row r="91" spans="1:9" x14ac:dyDescent="0.35">
      <c r="A91" s="7">
        <v>42887</v>
      </c>
      <c r="B91" s="11">
        <v>847222</v>
      </c>
      <c r="C91" s="9">
        <v>3403500</v>
      </c>
      <c r="D91" s="10">
        <v>95260</v>
      </c>
      <c r="E91" s="10">
        <v>1815585</v>
      </c>
      <c r="F91" s="10">
        <v>666601</v>
      </c>
      <c r="G91" s="10">
        <v>2853229</v>
      </c>
      <c r="H91" s="10">
        <v>6826087</v>
      </c>
      <c r="I91" s="11">
        <f t="shared" ref="I91:I145" si="4">SUM(B91:H91)</f>
        <v>16507484</v>
      </c>
    </row>
    <row r="92" spans="1:9" x14ac:dyDescent="0.35">
      <c r="A92" s="7">
        <v>42917</v>
      </c>
      <c r="B92" s="11">
        <v>600837</v>
      </c>
      <c r="C92" s="9">
        <v>2613709</v>
      </c>
      <c r="D92" s="10">
        <v>137846</v>
      </c>
      <c r="E92" s="10">
        <v>2340852</v>
      </c>
      <c r="F92" s="10">
        <v>595910</v>
      </c>
      <c r="G92" s="10">
        <v>3298865</v>
      </c>
      <c r="H92" s="10">
        <v>6084351</v>
      </c>
      <c r="I92" s="11">
        <f t="shared" si="4"/>
        <v>15672370</v>
      </c>
    </row>
    <row r="93" spans="1:9" x14ac:dyDescent="0.35">
      <c r="A93" s="7">
        <v>42948</v>
      </c>
      <c r="B93" s="11">
        <v>680264</v>
      </c>
      <c r="C93" s="9">
        <v>2779837</v>
      </c>
      <c r="D93" s="10">
        <v>130712</v>
      </c>
      <c r="E93" s="10">
        <v>2378635</v>
      </c>
      <c r="F93" s="10">
        <v>560859</v>
      </c>
      <c r="G93" s="10">
        <v>2678697</v>
      </c>
      <c r="H93" s="10">
        <v>5556409</v>
      </c>
      <c r="I93" s="11">
        <f t="shared" si="4"/>
        <v>14765413</v>
      </c>
    </row>
    <row r="94" spans="1:9" x14ac:dyDescent="0.35">
      <c r="A94" s="7">
        <v>42979</v>
      </c>
      <c r="B94" s="11">
        <v>839651</v>
      </c>
      <c r="C94" s="9">
        <v>3130383</v>
      </c>
      <c r="D94" s="10">
        <v>98285</v>
      </c>
      <c r="E94" s="10">
        <v>1868078</v>
      </c>
      <c r="F94" s="10">
        <v>733481</v>
      </c>
      <c r="G94" s="10">
        <v>2324889</v>
      </c>
      <c r="H94" s="10">
        <v>7130189</v>
      </c>
      <c r="I94" s="11">
        <f t="shared" si="4"/>
        <v>16124956</v>
      </c>
    </row>
    <row r="95" spans="1:9" x14ac:dyDescent="0.35">
      <c r="A95" s="7">
        <v>43009</v>
      </c>
      <c r="B95" s="11">
        <v>883997</v>
      </c>
      <c r="C95" s="9">
        <v>2704977</v>
      </c>
      <c r="D95" s="10">
        <v>113608</v>
      </c>
      <c r="E95" s="10">
        <v>1824991</v>
      </c>
      <c r="F95" s="10">
        <v>780950</v>
      </c>
      <c r="G95" s="10">
        <v>1754892</v>
      </c>
      <c r="H95" s="10">
        <v>5946771</v>
      </c>
      <c r="I95" s="11">
        <f t="shared" si="4"/>
        <v>14010186</v>
      </c>
    </row>
    <row r="96" spans="1:9" x14ac:dyDescent="0.35">
      <c r="A96" s="7">
        <v>43040</v>
      </c>
      <c r="B96" s="11">
        <v>902480</v>
      </c>
      <c r="C96" s="9">
        <v>3392397</v>
      </c>
      <c r="D96" s="10">
        <v>133217</v>
      </c>
      <c r="E96" s="10">
        <v>1990518</v>
      </c>
      <c r="F96" s="10">
        <v>878616</v>
      </c>
      <c r="G96" s="10">
        <v>2224856</v>
      </c>
      <c r="H96" s="10">
        <v>7332685</v>
      </c>
      <c r="I96" s="11">
        <f t="shared" si="4"/>
        <v>16854769</v>
      </c>
    </row>
    <row r="97" spans="1:9" ht="15" thickBot="1" x14ac:dyDescent="0.4">
      <c r="A97" s="15">
        <v>43070</v>
      </c>
      <c r="B97" s="54">
        <v>1285708.6399999999</v>
      </c>
      <c r="C97" s="73">
        <v>5583831.5199999996</v>
      </c>
      <c r="D97" s="74">
        <v>203940.67</v>
      </c>
      <c r="E97" s="74">
        <v>3158742.12</v>
      </c>
      <c r="F97" s="74">
        <v>975592.57</v>
      </c>
      <c r="G97" s="74">
        <v>2641242</v>
      </c>
      <c r="H97" s="74">
        <v>11946901.219999999</v>
      </c>
      <c r="I97" s="54">
        <f t="shared" si="4"/>
        <v>25795958.739999998</v>
      </c>
    </row>
    <row r="98" spans="1:9" x14ac:dyDescent="0.35">
      <c r="A98" s="42">
        <v>43101</v>
      </c>
      <c r="B98" s="37">
        <v>1027702.54</v>
      </c>
      <c r="C98" s="44">
        <v>2466473.4700000002</v>
      </c>
      <c r="D98" s="45">
        <v>77089.820000000007</v>
      </c>
      <c r="E98" s="45">
        <v>1389963.53</v>
      </c>
      <c r="F98" s="45">
        <v>479868.68</v>
      </c>
      <c r="G98" s="45">
        <v>1196523.8700000001</v>
      </c>
      <c r="H98" s="45">
        <v>5608481.9100000001</v>
      </c>
      <c r="I98" s="37">
        <f t="shared" si="4"/>
        <v>12246103.82</v>
      </c>
    </row>
    <row r="99" spans="1:9" x14ac:dyDescent="0.35">
      <c r="A99" s="7">
        <v>43132</v>
      </c>
      <c r="B99" s="11">
        <v>710478.71</v>
      </c>
      <c r="C99" s="9">
        <v>2839523.22</v>
      </c>
      <c r="D99" s="10">
        <v>149994.25</v>
      </c>
      <c r="E99" s="10">
        <v>2184794.5299999998</v>
      </c>
      <c r="F99" s="10">
        <v>815142.94</v>
      </c>
      <c r="G99" s="10">
        <v>1650453.48</v>
      </c>
      <c r="H99" s="10">
        <v>5179104.53</v>
      </c>
      <c r="I99" s="11">
        <f t="shared" si="4"/>
        <v>13529491.66</v>
      </c>
    </row>
    <row r="100" spans="1:9" x14ac:dyDescent="0.35">
      <c r="A100" s="7">
        <v>43160</v>
      </c>
      <c r="B100" s="11">
        <v>1026643.06</v>
      </c>
      <c r="C100" s="9">
        <v>4034219.4</v>
      </c>
      <c r="D100" s="10">
        <v>204583.65</v>
      </c>
      <c r="E100" s="10">
        <v>2824909.82</v>
      </c>
      <c r="F100" s="10">
        <v>1091133.99</v>
      </c>
      <c r="G100" s="10">
        <v>2615738.27</v>
      </c>
      <c r="H100" s="10">
        <v>7594053.3599999994</v>
      </c>
      <c r="I100" s="11">
        <f t="shared" si="4"/>
        <v>19391281.549999997</v>
      </c>
    </row>
    <row r="101" spans="1:9" x14ac:dyDescent="0.35">
      <c r="A101" s="7">
        <v>43191</v>
      </c>
      <c r="B101" s="11">
        <v>941914.31</v>
      </c>
      <c r="C101" s="9">
        <v>2887574.18</v>
      </c>
      <c r="D101" s="10">
        <v>107583.67999999999</v>
      </c>
      <c r="E101" s="10">
        <v>2046999.37</v>
      </c>
      <c r="F101" s="10">
        <v>603344.46</v>
      </c>
      <c r="G101" s="10">
        <v>1524776.69</v>
      </c>
      <c r="H101" s="10">
        <v>5950552.4799999995</v>
      </c>
      <c r="I101" s="11">
        <f t="shared" si="4"/>
        <v>14062745.170000002</v>
      </c>
    </row>
    <row r="102" spans="1:9" x14ac:dyDescent="0.35">
      <c r="A102" s="7">
        <v>43221</v>
      </c>
      <c r="B102" s="11">
        <v>1093258.4099999999</v>
      </c>
      <c r="C102" s="9">
        <v>3282181.55</v>
      </c>
      <c r="D102" s="10">
        <v>98495.66</v>
      </c>
      <c r="E102" s="10">
        <v>1930072.01</v>
      </c>
      <c r="F102" s="10">
        <v>595061.98</v>
      </c>
      <c r="G102" s="10">
        <v>2167496.7999999998</v>
      </c>
      <c r="H102" s="10">
        <v>6044348.5099999998</v>
      </c>
      <c r="I102" s="11">
        <v>15210914.92</v>
      </c>
    </row>
    <row r="103" spans="1:9" x14ac:dyDescent="0.35">
      <c r="A103" s="7">
        <v>43252</v>
      </c>
      <c r="B103" s="11">
        <v>772886.34</v>
      </c>
      <c r="C103" s="9">
        <v>3306676.46</v>
      </c>
      <c r="D103" s="10">
        <v>99830.15</v>
      </c>
      <c r="E103" s="10">
        <v>1947709.56</v>
      </c>
      <c r="F103" s="10">
        <v>632289.09</v>
      </c>
      <c r="G103" s="10">
        <v>1949170.49</v>
      </c>
      <c r="H103" s="10">
        <v>6505397.0300000003</v>
      </c>
      <c r="I103" s="11">
        <f t="shared" si="4"/>
        <v>15213959.120000001</v>
      </c>
    </row>
    <row r="104" spans="1:9" x14ac:dyDescent="0.35">
      <c r="A104" s="7">
        <v>43282</v>
      </c>
      <c r="B104" s="11">
        <v>638707.05000000005</v>
      </c>
      <c r="C104" s="9">
        <v>2592528.63</v>
      </c>
      <c r="D104" s="10">
        <v>108133.95</v>
      </c>
      <c r="E104" s="10">
        <v>2802760.67</v>
      </c>
      <c r="F104" s="10">
        <v>663380.9</v>
      </c>
      <c r="G104" s="10">
        <v>1815390.4</v>
      </c>
      <c r="H104" s="10">
        <v>6306166.6500000004</v>
      </c>
      <c r="I104" s="11">
        <f t="shared" si="4"/>
        <v>14927068.25</v>
      </c>
    </row>
    <row r="105" spans="1:9" x14ac:dyDescent="0.35">
      <c r="A105" s="7">
        <v>43313</v>
      </c>
      <c r="B105" s="11">
        <v>762608.64000000001</v>
      </c>
      <c r="C105" s="9">
        <v>2529035.4900000002</v>
      </c>
      <c r="D105" s="10">
        <v>121809.87</v>
      </c>
      <c r="E105" s="10">
        <v>2293227.33</v>
      </c>
      <c r="F105" s="10">
        <v>521463.59</v>
      </c>
      <c r="G105" s="10">
        <v>1387568.45</v>
      </c>
      <c r="H105" s="10">
        <v>5857685.2799999993</v>
      </c>
      <c r="I105" s="11">
        <v>13473398.649999999</v>
      </c>
    </row>
    <row r="106" spans="1:9" x14ac:dyDescent="0.35">
      <c r="A106" s="7">
        <v>43344</v>
      </c>
      <c r="B106" s="11">
        <v>835156.58</v>
      </c>
      <c r="C106" s="9">
        <v>3323234.48</v>
      </c>
      <c r="D106" s="10">
        <v>108620.79</v>
      </c>
      <c r="E106" s="10">
        <v>1976323.41</v>
      </c>
      <c r="F106" s="10">
        <v>602785.68999999994</v>
      </c>
      <c r="G106" s="10">
        <v>1539664.93</v>
      </c>
      <c r="H106" s="10">
        <v>7407944.3899999997</v>
      </c>
      <c r="I106" s="11">
        <f t="shared" si="4"/>
        <v>15793730.27</v>
      </c>
    </row>
    <row r="107" spans="1:9" x14ac:dyDescent="0.35">
      <c r="A107" s="7">
        <v>43374</v>
      </c>
      <c r="B107" s="11">
        <v>757569.05</v>
      </c>
      <c r="C107" s="9">
        <v>2851371.63</v>
      </c>
      <c r="D107" s="10">
        <v>85665.31</v>
      </c>
      <c r="E107" s="10">
        <v>1863174.04</v>
      </c>
      <c r="F107" s="10">
        <v>634393.64</v>
      </c>
      <c r="G107" s="10">
        <v>1706123.86</v>
      </c>
      <c r="H107" s="10">
        <v>6294642.96</v>
      </c>
      <c r="I107" s="11">
        <f t="shared" si="4"/>
        <v>14192940.489999998</v>
      </c>
    </row>
    <row r="108" spans="1:9" x14ac:dyDescent="0.35">
      <c r="A108" s="7">
        <v>43405</v>
      </c>
      <c r="B108" s="11">
        <v>1036811.07</v>
      </c>
      <c r="C108" s="9">
        <v>3739648.93</v>
      </c>
      <c r="D108" s="10">
        <v>130364.75</v>
      </c>
      <c r="E108" s="10">
        <v>2170093.4</v>
      </c>
      <c r="F108" s="10">
        <v>969738.62</v>
      </c>
      <c r="G108" s="10">
        <v>2452093.6800000002</v>
      </c>
      <c r="H108" s="10">
        <v>8662703.6599999983</v>
      </c>
      <c r="I108" s="11">
        <f t="shared" si="4"/>
        <v>19161454.109999999</v>
      </c>
    </row>
    <row r="109" spans="1:9" ht="15" thickBot="1" x14ac:dyDescent="0.4">
      <c r="A109" s="15">
        <v>43435</v>
      </c>
      <c r="B109" s="54">
        <v>1261455.43</v>
      </c>
      <c r="C109" s="73">
        <v>4639825.0599999996</v>
      </c>
      <c r="D109" s="74">
        <v>173922.94</v>
      </c>
      <c r="E109" s="74">
        <v>3105122.28</v>
      </c>
      <c r="F109" s="74">
        <v>941729.09</v>
      </c>
      <c r="G109" s="74">
        <v>2525192.5499999998</v>
      </c>
      <c r="H109" s="74">
        <v>11625760.57</v>
      </c>
      <c r="I109" s="54">
        <f t="shared" si="4"/>
        <v>24273007.919999998</v>
      </c>
    </row>
    <row r="110" spans="1:9" x14ac:dyDescent="0.35">
      <c r="A110" s="7">
        <v>43484</v>
      </c>
      <c r="B110" s="11">
        <v>735251.26</v>
      </c>
      <c r="C110" s="9">
        <v>2183156.54</v>
      </c>
      <c r="D110" s="10">
        <v>59802.23</v>
      </c>
      <c r="E110" s="10">
        <v>1572271.07</v>
      </c>
      <c r="F110" s="10">
        <v>406956.53</v>
      </c>
      <c r="G110" s="10">
        <v>1072939.5900000001</v>
      </c>
      <c r="H110" s="10">
        <v>5169503.9499999993</v>
      </c>
      <c r="I110" s="70">
        <f t="shared" si="4"/>
        <v>11199881.169999998</v>
      </c>
    </row>
    <row r="111" spans="1:9" x14ac:dyDescent="0.35">
      <c r="A111" s="7">
        <v>43515</v>
      </c>
      <c r="B111" s="11">
        <v>1001952.39</v>
      </c>
      <c r="C111" s="9">
        <v>2631709.84</v>
      </c>
      <c r="D111" s="10">
        <v>127600.06</v>
      </c>
      <c r="E111" s="10">
        <v>2172750.0499999998</v>
      </c>
      <c r="F111" s="10">
        <v>525921.68000000005</v>
      </c>
      <c r="G111" s="10">
        <v>1259238.8999999999</v>
      </c>
      <c r="H111" s="10">
        <v>6127274.1100000003</v>
      </c>
      <c r="I111" s="11">
        <v>13846447.030000001</v>
      </c>
    </row>
    <row r="112" spans="1:9" x14ac:dyDescent="0.35">
      <c r="A112" s="7">
        <v>43543</v>
      </c>
      <c r="B112" s="100">
        <v>921095.49</v>
      </c>
      <c r="C112" s="100">
        <v>3667299.39</v>
      </c>
      <c r="D112" s="100">
        <v>177323.57</v>
      </c>
      <c r="E112" s="100">
        <v>2935534.82</v>
      </c>
      <c r="F112" s="100">
        <v>912540.78</v>
      </c>
      <c r="G112" s="100">
        <v>1998983.83</v>
      </c>
      <c r="H112" s="100">
        <f>46716.98+92550+7908469.4</f>
        <v>8047736.3800000008</v>
      </c>
      <c r="I112" s="100">
        <f t="shared" ref="I112" si="5">SUM(B112:H112)</f>
        <v>18660514.259999998</v>
      </c>
    </row>
    <row r="113" spans="1:9" x14ac:dyDescent="0.35">
      <c r="A113" s="7">
        <v>43574</v>
      </c>
      <c r="B113" s="11">
        <v>1241709.92</v>
      </c>
      <c r="C113" s="9">
        <v>3225878.64</v>
      </c>
      <c r="D113" s="10">
        <v>111935.37</v>
      </c>
      <c r="E113" s="10">
        <v>2222400.02</v>
      </c>
      <c r="F113" s="10">
        <v>672848.25</v>
      </c>
      <c r="G113" s="10">
        <v>1900967.66</v>
      </c>
      <c r="H113" s="10">
        <v>6741178.0499999998</v>
      </c>
      <c r="I113" s="11">
        <f t="shared" si="4"/>
        <v>16116917.91</v>
      </c>
    </row>
    <row r="114" spans="1:9" x14ac:dyDescent="0.35">
      <c r="A114" s="7">
        <v>43604</v>
      </c>
      <c r="B114" s="11">
        <v>796197.93</v>
      </c>
      <c r="C114" s="9">
        <v>3135853.34</v>
      </c>
      <c r="D114" s="10">
        <v>85673.77</v>
      </c>
      <c r="E114" s="10">
        <v>1849896.22</v>
      </c>
      <c r="F114" s="10">
        <v>466051.24</v>
      </c>
      <c r="G114" s="10">
        <v>1699625.41</v>
      </c>
      <c r="H114" s="10">
        <f>86318.03+72881.11+6575637.45</f>
        <v>6734836.5899999999</v>
      </c>
      <c r="I114" s="11">
        <f t="shared" si="4"/>
        <v>14768134.5</v>
      </c>
    </row>
    <row r="115" spans="1:9" x14ac:dyDescent="0.35">
      <c r="A115" s="7">
        <v>43635</v>
      </c>
      <c r="B115" s="11">
        <v>531041.28000000003</v>
      </c>
      <c r="C115" s="9">
        <v>3175196.88</v>
      </c>
      <c r="D115" s="10">
        <v>117734.81</v>
      </c>
      <c r="E115" s="10">
        <v>1894880.76</v>
      </c>
      <c r="F115" s="10">
        <v>529035.27</v>
      </c>
      <c r="G115" s="10">
        <v>1725676.57</v>
      </c>
      <c r="H115" s="10">
        <f>62077.14+98446.94+6822451.48</f>
        <v>6982975.5600000005</v>
      </c>
      <c r="I115" s="11">
        <f t="shared" si="4"/>
        <v>14956541.130000001</v>
      </c>
    </row>
    <row r="116" spans="1:9" x14ac:dyDescent="0.35">
      <c r="A116" s="7">
        <v>43665</v>
      </c>
      <c r="B116" s="11">
        <v>467053.34</v>
      </c>
      <c r="C116" s="9">
        <v>2363020.17</v>
      </c>
      <c r="D116" s="10">
        <v>100367.98</v>
      </c>
      <c r="E116" s="10">
        <v>2394304.9500000002</v>
      </c>
      <c r="F116" s="10">
        <v>488862.09</v>
      </c>
      <c r="G116" s="10">
        <v>1415538.13</v>
      </c>
      <c r="H116" s="10">
        <v>5866980.9400000004</v>
      </c>
      <c r="I116" s="11">
        <f t="shared" si="4"/>
        <v>13096127.6</v>
      </c>
    </row>
    <row r="117" spans="1:9" x14ac:dyDescent="0.35">
      <c r="A117" s="7">
        <v>43696</v>
      </c>
      <c r="B117" s="11">
        <v>554839.66</v>
      </c>
      <c r="C117" s="9">
        <v>2531459.9300000002</v>
      </c>
      <c r="D117" s="10">
        <v>153649.185</v>
      </c>
      <c r="E117" s="10">
        <v>2406450.21</v>
      </c>
      <c r="F117" s="10">
        <v>514617.13</v>
      </c>
      <c r="G117" s="10">
        <v>1293853.6399999999</v>
      </c>
      <c r="H117" s="10">
        <v>6332324.0600000005</v>
      </c>
      <c r="I117" s="11">
        <f t="shared" si="4"/>
        <v>13787193.815000001</v>
      </c>
    </row>
    <row r="118" spans="1:9" x14ac:dyDescent="0.35">
      <c r="A118" s="7">
        <v>43727</v>
      </c>
      <c r="B118" s="100">
        <v>997360.75</v>
      </c>
      <c r="C118" s="100">
        <v>3438030.11</v>
      </c>
      <c r="D118" s="100">
        <v>16488.009999999998</v>
      </c>
      <c r="E118" s="100">
        <v>1704814.54</v>
      </c>
      <c r="F118" s="100">
        <v>488273.54</v>
      </c>
      <c r="G118" s="100">
        <v>1422551.88</v>
      </c>
      <c r="H118" s="100">
        <f>67888.81+101089.13+7101003.96</f>
        <v>7269981.9000000004</v>
      </c>
      <c r="I118" s="11">
        <f t="shared" si="4"/>
        <v>15337500.73</v>
      </c>
    </row>
    <row r="119" spans="1:9" x14ac:dyDescent="0.35">
      <c r="A119" s="7">
        <v>43757</v>
      </c>
      <c r="B119" s="11">
        <v>774264.65</v>
      </c>
      <c r="C119" s="9">
        <v>2818061.3</v>
      </c>
      <c r="D119" s="10">
        <v>100278.27</v>
      </c>
      <c r="E119" s="10">
        <v>1744161.46</v>
      </c>
      <c r="F119" s="10">
        <v>546692.71</v>
      </c>
      <c r="G119" s="10">
        <v>1604708.94</v>
      </c>
      <c r="H119" s="10">
        <v>6877217.1500000004</v>
      </c>
      <c r="I119" s="11">
        <f t="shared" si="4"/>
        <v>14465384.48</v>
      </c>
    </row>
    <row r="120" spans="1:9" x14ac:dyDescent="0.35">
      <c r="A120" s="7">
        <v>43788</v>
      </c>
      <c r="B120" s="11">
        <v>995686.83</v>
      </c>
      <c r="C120" s="9">
        <v>3572949.42</v>
      </c>
      <c r="D120" s="10">
        <v>117343.03999999999</v>
      </c>
      <c r="E120" s="10">
        <v>1959985.05</v>
      </c>
      <c r="F120" s="10">
        <v>782842.39</v>
      </c>
      <c r="G120" s="10">
        <v>2017263.77</v>
      </c>
      <c r="H120" s="10">
        <v>8260293.3799999999</v>
      </c>
      <c r="I120" s="11">
        <f t="shared" si="4"/>
        <v>17706363.879999999</v>
      </c>
    </row>
    <row r="121" spans="1:9" ht="15" thickBot="1" x14ac:dyDescent="0.4">
      <c r="A121" s="15">
        <v>43818</v>
      </c>
      <c r="B121" s="54">
        <v>1164996.92</v>
      </c>
      <c r="C121" s="73">
        <v>4432260.1900000004</v>
      </c>
      <c r="D121" s="74">
        <v>183610.5</v>
      </c>
      <c r="E121" s="74">
        <v>3000957.7</v>
      </c>
      <c r="F121" s="74">
        <v>1112323.67</v>
      </c>
      <c r="G121" s="74">
        <v>2047636.62</v>
      </c>
      <c r="H121" s="74">
        <f>48151.34+221123.01+11860954.09</f>
        <v>12130228.439999999</v>
      </c>
      <c r="I121" s="54">
        <f t="shared" si="4"/>
        <v>24072014.039999999</v>
      </c>
    </row>
    <row r="122" spans="1:9" x14ac:dyDescent="0.35">
      <c r="A122" s="53">
        <v>43849</v>
      </c>
      <c r="B122" s="70">
        <v>769351.61</v>
      </c>
      <c r="C122" s="70">
        <v>2042479.21</v>
      </c>
      <c r="D122" s="70">
        <v>51587.5</v>
      </c>
      <c r="E122" s="70">
        <v>1330900.5900000001</v>
      </c>
      <c r="F122" s="70">
        <v>337314.02</v>
      </c>
      <c r="G122" s="70">
        <v>971765.95</v>
      </c>
      <c r="H122" s="70">
        <v>5434349.2000000002</v>
      </c>
      <c r="I122" s="70">
        <f t="shared" si="4"/>
        <v>10937748.08</v>
      </c>
    </row>
    <row r="123" spans="1:9" x14ac:dyDescent="0.35">
      <c r="A123" s="7">
        <v>43880</v>
      </c>
      <c r="B123" s="11">
        <v>791594.84</v>
      </c>
      <c r="C123" s="11">
        <v>2205039.06</v>
      </c>
      <c r="D123" s="11">
        <v>239023.5</v>
      </c>
      <c r="E123" s="11">
        <v>2026349.86</v>
      </c>
      <c r="F123" s="11">
        <v>500215.58</v>
      </c>
      <c r="G123" s="11">
        <v>1046594.23</v>
      </c>
      <c r="H123" s="11">
        <v>6294172.4500000002</v>
      </c>
      <c r="I123" s="11">
        <f>SUM(B123:H123)</f>
        <v>13102989.52</v>
      </c>
    </row>
    <row r="124" spans="1:9" x14ac:dyDescent="0.35">
      <c r="A124" s="7">
        <v>43909</v>
      </c>
      <c r="B124" s="11">
        <v>344428.26</v>
      </c>
      <c r="C124" s="11">
        <v>1190271.3</v>
      </c>
      <c r="D124" s="11">
        <v>86934</v>
      </c>
      <c r="E124" s="11">
        <v>1340121.28</v>
      </c>
      <c r="F124" s="11">
        <v>300327.14</v>
      </c>
      <c r="G124" s="11">
        <v>819648.69</v>
      </c>
      <c r="H124" s="11">
        <v>4095117.16</v>
      </c>
      <c r="I124" s="11">
        <f t="shared" ref="I124" si="6">SUM(B124:H124)</f>
        <v>8176847.8300000001</v>
      </c>
    </row>
    <row r="125" spans="1:9" x14ac:dyDescent="0.35">
      <c r="A125" s="7">
        <v>43940</v>
      </c>
      <c r="B125" s="11">
        <v>98361.68</v>
      </c>
      <c r="C125" s="11">
        <v>443814.05</v>
      </c>
      <c r="D125" s="11">
        <v>10622</v>
      </c>
      <c r="E125" s="11">
        <v>230188.9</v>
      </c>
      <c r="F125" s="11">
        <v>102302.36</v>
      </c>
      <c r="G125" s="11">
        <v>155972.72</v>
      </c>
      <c r="H125" s="11">
        <v>1488642.27</v>
      </c>
      <c r="I125" s="11">
        <f t="shared" si="4"/>
        <v>2529903.98</v>
      </c>
    </row>
    <row r="126" spans="1:9" x14ac:dyDescent="0.35">
      <c r="A126" s="7">
        <v>43970</v>
      </c>
      <c r="B126" s="11">
        <v>242799.4</v>
      </c>
      <c r="C126" s="11">
        <v>1032315.21</v>
      </c>
      <c r="D126" s="11">
        <v>87881.83</v>
      </c>
      <c r="E126" s="11">
        <v>1165667.8799999999</v>
      </c>
      <c r="F126" s="11">
        <v>235012.75</v>
      </c>
      <c r="G126" s="11">
        <v>816139.42</v>
      </c>
      <c r="H126" s="11">
        <v>3393991.68</v>
      </c>
      <c r="I126" s="11">
        <f t="shared" si="4"/>
        <v>6973808.1699999999</v>
      </c>
    </row>
    <row r="127" spans="1:9" x14ac:dyDescent="0.35">
      <c r="A127" s="7">
        <v>44001</v>
      </c>
      <c r="B127" s="11">
        <v>480500.35</v>
      </c>
      <c r="C127" s="11">
        <v>2636667.4900000002</v>
      </c>
      <c r="D127" s="11">
        <v>202850.17</v>
      </c>
      <c r="E127" s="11">
        <v>2469131.2999999998</v>
      </c>
      <c r="F127" s="11">
        <v>437172.19</v>
      </c>
      <c r="G127" s="11">
        <v>2976433.81</v>
      </c>
      <c r="H127" s="11">
        <v>8718201.6500000004</v>
      </c>
      <c r="I127" s="11">
        <f t="shared" si="4"/>
        <v>17920956.960000001</v>
      </c>
    </row>
    <row r="128" spans="1:9" x14ac:dyDescent="0.35">
      <c r="A128" s="7">
        <v>44031</v>
      </c>
      <c r="B128" s="11">
        <v>283369.03999999998</v>
      </c>
      <c r="C128" s="11">
        <v>1927902.32</v>
      </c>
      <c r="D128" s="11">
        <v>92046.5</v>
      </c>
      <c r="E128" s="11">
        <v>1753368.45</v>
      </c>
      <c r="F128" s="11">
        <v>414799.05</v>
      </c>
      <c r="G128" s="11">
        <v>1367977.8</v>
      </c>
      <c r="H128" s="11">
        <f>45020.73+343385.8+5653871.9</f>
        <v>6042278.4300000006</v>
      </c>
      <c r="I128" s="11">
        <f t="shared" si="4"/>
        <v>11881741.59</v>
      </c>
    </row>
    <row r="129" spans="1:9" x14ac:dyDescent="0.35">
      <c r="A129" s="7">
        <v>44062</v>
      </c>
      <c r="B129" s="11">
        <v>711747.49</v>
      </c>
      <c r="C129" s="11">
        <v>1733636.12</v>
      </c>
      <c r="D129" s="11">
        <v>94322.5</v>
      </c>
      <c r="E129" s="11">
        <v>1562755.43</v>
      </c>
      <c r="F129" s="11">
        <v>542704.73</v>
      </c>
      <c r="G129" s="11">
        <v>1191110.52</v>
      </c>
      <c r="H129" s="11">
        <v>5509715</v>
      </c>
      <c r="I129" s="11">
        <f t="shared" si="4"/>
        <v>11345991.789999999</v>
      </c>
    </row>
    <row r="130" spans="1:9" x14ac:dyDescent="0.35">
      <c r="A130" s="7">
        <v>44093</v>
      </c>
      <c r="B130" s="11">
        <v>430449.48</v>
      </c>
      <c r="C130" s="11">
        <v>2460259.27</v>
      </c>
      <c r="D130" s="11">
        <v>142483</v>
      </c>
      <c r="E130" s="11">
        <v>2352794.41</v>
      </c>
      <c r="F130" s="11">
        <v>629131.66</v>
      </c>
      <c r="G130" s="11">
        <v>2061012.91</v>
      </c>
      <c r="H130" s="11">
        <v>8080345.6100000003</v>
      </c>
      <c r="I130" s="11">
        <f t="shared" si="4"/>
        <v>16156476.34</v>
      </c>
    </row>
    <row r="131" spans="1:9" x14ac:dyDescent="0.35">
      <c r="A131" s="7">
        <v>44123</v>
      </c>
      <c r="B131" s="11">
        <v>562059.97</v>
      </c>
      <c r="C131" s="11">
        <v>2384862.7400000002</v>
      </c>
      <c r="D131" s="11">
        <v>88553.5</v>
      </c>
      <c r="E131" s="11">
        <v>1573292.34</v>
      </c>
      <c r="F131" s="11">
        <v>44972.58</v>
      </c>
      <c r="G131" s="11">
        <v>1749715.93</v>
      </c>
      <c r="H131" s="11">
        <v>6673892.2199999997</v>
      </c>
      <c r="I131" s="11">
        <f t="shared" si="4"/>
        <v>13077349.279999999</v>
      </c>
    </row>
    <row r="132" spans="1:9" x14ac:dyDescent="0.35">
      <c r="A132" s="7">
        <v>44154</v>
      </c>
      <c r="B132" s="11">
        <v>444997.5</v>
      </c>
      <c r="C132" s="11">
        <v>2419408.59</v>
      </c>
      <c r="D132" s="11">
        <v>14798.5</v>
      </c>
      <c r="E132" s="11">
        <v>1660298.55</v>
      </c>
      <c r="F132" s="11">
        <v>669743.12</v>
      </c>
      <c r="G132" s="11">
        <v>161893.34</v>
      </c>
      <c r="H132" s="11">
        <v>8346936.3699999992</v>
      </c>
      <c r="I132" s="11">
        <f t="shared" si="4"/>
        <v>13718075.969999999</v>
      </c>
    </row>
    <row r="133" spans="1:9" ht="15" thickBot="1" x14ac:dyDescent="0.4">
      <c r="A133" s="15">
        <v>44184</v>
      </c>
      <c r="B133" s="54">
        <v>995288.15</v>
      </c>
      <c r="C133" s="54">
        <v>3647933.55</v>
      </c>
      <c r="D133" s="54">
        <v>262145</v>
      </c>
      <c r="E133" s="54">
        <v>2891483.21</v>
      </c>
      <c r="F133" s="54">
        <v>703201.75</v>
      </c>
      <c r="G133" s="54">
        <v>3095295.23</v>
      </c>
      <c r="H133" s="54">
        <v>12893403.780000001</v>
      </c>
      <c r="I133" s="54">
        <f t="shared" si="4"/>
        <v>24488750.670000002</v>
      </c>
    </row>
    <row r="134" spans="1:9" x14ac:dyDescent="0.35">
      <c r="A134" s="53">
        <v>44215</v>
      </c>
      <c r="B134" s="70">
        <v>263708.14</v>
      </c>
      <c r="C134" s="70">
        <v>1974321.95</v>
      </c>
      <c r="D134" s="70">
        <v>13624</v>
      </c>
      <c r="E134" s="70">
        <v>1512420.36</v>
      </c>
      <c r="F134" s="70">
        <v>274265.42</v>
      </c>
      <c r="G134" s="70">
        <v>1475388.17</v>
      </c>
      <c r="H134" s="70">
        <v>4954716.51</v>
      </c>
      <c r="I134" s="70">
        <f t="shared" si="4"/>
        <v>10468444.550000001</v>
      </c>
    </row>
    <row r="135" spans="1:9" x14ac:dyDescent="0.35">
      <c r="A135" s="7">
        <v>44246</v>
      </c>
      <c r="B135" s="11">
        <v>664161.73</v>
      </c>
      <c r="C135" s="11">
        <v>1894234.31</v>
      </c>
      <c r="D135" s="11">
        <v>158700.5</v>
      </c>
      <c r="E135" s="11">
        <v>1418563.14</v>
      </c>
      <c r="F135" s="11">
        <v>288521.18</v>
      </c>
      <c r="G135" s="11">
        <v>1330235.6000000001</v>
      </c>
      <c r="H135" s="11">
        <v>5606612.5300000003</v>
      </c>
      <c r="I135" s="11">
        <f>SUM(B135:H135)</f>
        <v>11361028.989999998</v>
      </c>
    </row>
    <row r="136" spans="1:9" x14ac:dyDescent="0.35">
      <c r="A136" s="7">
        <v>44274</v>
      </c>
      <c r="B136" s="11">
        <v>358929.66</v>
      </c>
      <c r="C136" s="11">
        <v>3993290.83</v>
      </c>
      <c r="D136" s="11">
        <v>218855</v>
      </c>
      <c r="E136" s="11">
        <v>3180715.25</v>
      </c>
      <c r="F136" s="11">
        <v>730650.27</v>
      </c>
      <c r="G136" s="11">
        <v>3090166.7</v>
      </c>
      <c r="H136" s="11">
        <v>10484108.02</v>
      </c>
      <c r="I136" s="11">
        <f t="shared" ref="I136" si="7">SUM(B136:H136)</f>
        <v>22056715.73</v>
      </c>
    </row>
    <row r="137" spans="1:9" x14ac:dyDescent="0.35">
      <c r="A137" s="7">
        <v>44305</v>
      </c>
      <c r="B137" s="11">
        <v>1186461.1499999999</v>
      </c>
      <c r="C137" s="11">
        <v>2897905.21</v>
      </c>
      <c r="D137" s="11">
        <v>117532.5</v>
      </c>
      <c r="E137" s="11">
        <v>2422111.67</v>
      </c>
      <c r="F137" s="11">
        <v>233778.96</v>
      </c>
      <c r="G137" s="11">
        <v>2281202.87</v>
      </c>
      <c r="H137" s="11">
        <v>8162116.9900000002</v>
      </c>
      <c r="I137" s="11">
        <f t="shared" si="4"/>
        <v>17301109.350000001</v>
      </c>
    </row>
    <row r="138" spans="1:9" x14ac:dyDescent="0.35">
      <c r="A138" s="7">
        <v>44335</v>
      </c>
      <c r="B138" s="11">
        <v>747584.22</v>
      </c>
      <c r="C138" s="11">
        <v>3001203.84</v>
      </c>
      <c r="D138" s="11">
        <v>124926.5</v>
      </c>
      <c r="E138" s="11">
        <v>2420926.1800000002</v>
      </c>
      <c r="F138" s="11">
        <v>277740.86</v>
      </c>
      <c r="G138" s="11">
        <v>2195484.5699999998</v>
      </c>
      <c r="H138" s="11">
        <v>8181506.0599999996</v>
      </c>
      <c r="I138" s="11">
        <v>16949372.23</v>
      </c>
    </row>
    <row r="139" spans="1:9" x14ac:dyDescent="0.35">
      <c r="A139" s="7">
        <v>44366</v>
      </c>
      <c r="B139" s="11">
        <v>646420.31999999995</v>
      </c>
      <c r="C139" s="11">
        <v>3021544.15</v>
      </c>
      <c r="D139" s="11">
        <v>156247</v>
      </c>
      <c r="E139" s="11">
        <v>2298378.09</v>
      </c>
      <c r="F139" s="11">
        <v>506068.06</v>
      </c>
      <c r="G139" s="11">
        <v>2431597.79</v>
      </c>
      <c r="H139" s="11">
        <v>15339205.060000001</v>
      </c>
      <c r="I139" s="11">
        <f t="shared" si="4"/>
        <v>24399460.469999999</v>
      </c>
    </row>
    <row r="140" spans="1:9" x14ac:dyDescent="0.35">
      <c r="A140" s="7">
        <v>44396</v>
      </c>
      <c r="B140" s="11">
        <v>527689.56999999995</v>
      </c>
      <c r="C140" s="11">
        <v>2327125.85</v>
      </c>
      <c r="D140" s="11">
        <v>142461</v>
      </c>
      <c r="E140" s="11">
        <v>2470495.19</v>
      </c>
      <c r="F140" s="11">
        <v>253381.19</v>
      </c>
      <c r="G140" s="11">
        <v>1860590.41</v>
      </c>
      <c r="H140" s="11">
        <v>7665692.2399999993</v>
      </c>
      <c r="I140" s="11">
        <f t="shared" si="4"/>
        <v>15247435.449999999</v>
      </c>
    </row>
    <row r="141" spans="1:9" x14ac:dyDescent="0.35">
      <c r="A141" s="7">
        <v>44427</v>
      </c>
      <c r="B141" s="11">
        <v>474382.61</v>
      </c>
      <c r="C141" s="11">
        <v>2080181.9</v>
      </c>
      <c r="D141" s="11">
        <v>140673</v>
      </c>
      <c r="E141" s="11">
        <v>2316147.29</v>
      </c>
      <c r="F141" s="11">
        <v>777264.58</v>
      </c>
      <c r="G141" s="11">
        <v>1415354.12</v>
      </c>
      <c r="H141" s="11">
        <v>6781998.4500000002</v>
      </c>
      <c r="I141" s="11">
        <f t="shared" si="4"/>
        <v>13986001.949999999</v>
      </c>
    </row>
    <row r="142" spans="1:9" x14ac:dyDescent="0.35">
      <c r="A142" s="7">
        <v>44458</v>
      </c>
      <c r="B142" s="11">
        <v>611210.46</v>
      </c>
      <c r="C142" s="11">
        <v>2890341.22</v>
      </c>
      <c r="D142" s="11">
        <v>115862</v>
      </c>
      <c r="E142" s="11">
        <v>1846355.28</v>
      </c>
      <c r="F142" s="11">
        <v>1168058.6100000001</v>
      </c>
      <c r="G142" s="11">
        <v>1865217.04</v>
      </c>
      <c r="H142" s="11">
        <v>8756361.7400000002</v>
      </c>
      <c r="I142" s="11">
        <f t="shared" si="4"/>
        <v>17253406.350000001</v>
      </c>
    </row>
    <row r="143" spans="1:9" x14ac:dyDescent="0.35">
      <c r="A143" s="7">
        <v>44488</v>
      </c>
      <c r="B143" s="11">
        <v>838330.59</v>
      </c>
      <c r="C143" s="11">
        <v>2598528.79</v>
      </c>
      <c r="D143" s="11">
        <v>115595.5</v>
      </c>
      <c r="E143" s="11">
        <v>2115036.0299999998</v>
      </c>
      <c r="F143" s="11">
        <v>430105.37</v>
      </c>
      <c r="G143" s="11">
        <v>1844506.3</v>
      </c>
      <c r="H143" s="11">
        <v>8013591.4900000002</v>
      </c>
      <c r="I143" s="11">
        <f t="shared" si="4"/>
        <v>15955694.07</v>
      </c>
    </row>
    <row r="144" spans="1:9" x14ac:dyDescent="0.35">
      <c r="A144" s="7">
        <v>44519</v>
      </c>
      <c r="B144" s="67">
        <v>714145.74</v>
      </c>
      <c r="C144" s="67">
        <v>3078895.54</v>
      </c>
      <c r="D144" s="67">
        <v>133953</v>
      </c>
      <c r="E144" s="67">
        <v>2762713.36</v>
      </c>
      <c r="F144" s="67">
        <v>1544334.09</v>
      </c>
      <c r="G144" s="67">
        <v>2367297.14</v>
      </c>
      <c r="H144" s="67">
        <v>9942255.4199999999</v>
      </c>
      <c r="I144" s="67">
        <f t="shared" si="4"/>
        <v>20543594.289999999</v>
      </c>
    </row>
    <row r="145" spans="1:9" ht="15" thickBot="1" x14ac:dyDescent="0.4">
      <c r="A145" s="15">
        <v>44549</v>
      </c>
      <c r="B145" s="54">
        <v>1124579.8500000001</v>
      </c>
      <c r="C145" s="54">
        <v>4141690.36</v>
      </c>
      <c r="D145" s="54">
        <v>180143.5</v>
      </c>
      <c r="E145" s="54">
        <v>3397166.78</v>
      </c>
      <c r="F145" s="54">
        <v>538005.31000000006</v>
      </c>
      <c r="G145" s="54">
        <v>2726341.62</v>
      </c>
      <c r="H145" s="54">
        <v>13913817.130000001</v>
      </c>
      <c r="I145" s="54">
        <f t="shared" si="4"/>
        <v>26021744.550000004</v>
      </c>
    </row>
    <row r="146" spans="1:9" x14ac:dyDescent="0.35">
      <c r="A146" s="53">
        <v>44583</v>
      </c>
      <c r="B146" s="70">
        <v>751104.66</v>
      </c>
      <c r="C146" s="70">
        <v>1886230.83</v>
      </c>
      <c r="D146" s="70">
        <v>64461</v>
      </c>
      <c r="E146" s="70">
        <v>1522054.89</v>
      </c>
      <c r="F146" s="70">
        <v>290929.86</v>
      </c>
      <c r="G146" s="70">
        <v>1109975.19</v>
      </c>
      <c r="H146" s="70">
        <v>5801193.5800000001</v>
      </c>
      <c r="I146" s="70">
        <f>SUM(B146:H146)</f>
        <v>11425950.01</v>
      </c>
    </row>
    <row r="147" spans="1:9" x14ac:dyDescent="0.35">
      <c r="A147" s="7">
        <v>44614</v>
      </c>
      <c r="B147" s="11">
        <v>846191.05</v>
      </c>
      <c r="C147" s="11">
        <v>2485244.0099999998</v>
      </c>
      <c r="D147" s="11">
        <v>88729.25</v>
      </c>
      <c r="E147" s="11">
        <v>2185546.21</v>
      </c>
      <c r="F147" s="11">
        <v>364673.89</v>
      </c>
      <c r="G147" s="11">
        <v>1326048.9099999999</v>
      </c>
      <c r="H147" s="11">
        <v>7341004.3300000001</v>
      </c>
      <c r="I147" s="11">
        <f>SUM(B147:H147)</f>
        <v>14637437.649999999</v>
      </c>
    </row>
    <row r="148" spans="1:9" x14ac:dyDescent="0.35">
      <c r="A148" s="7">
        <v>44642</v>
      </c>
      <c r="B148" s="11">
        <v>935620.49</v>
      </c>
      <c r="C148" s="11">
        <v>3111752.14</v>
      </c>
      <c r="D148" s="11">
        <v>162940.5</v>
      </c>
      <c r="E148" s="11">
        <v>2892875.48</v>
      </c>
      <c r="F148" s="11">
        <v>602026.64</v>
      </c>
      <c r="G148" s="11">
        <v>2107530.6800000002</v>
      </c>
      <c r="H148" s="11">
        <v>9690560.4100000001</v>
      </c>
      <c r="I148" s="11">
        <f t="shared" ref="I148" si="8">SUM(B148:H148)</f>
        <v>19503306.34</v>
      </c>
    </row>
    <row r="149" spans="1:9" x14ac:dyDescent="0.35">
      <c r="A149" s="7">
        <v>44673</v>
      </c>
      <c r="B149" s="11">
        <v>916915</v>
      </c>
      <c r="C149" s="11">
        <v>3444765</v>
      </c>
      <c r="D149" s="11">
        <v>115493</v>
      </c>
      <c r="E149" s="11">
        <v>2719681</v>
      </c>
      <c r="F149" s="11">
        <v>615836</v>
      </c>
      <c r="G149" s="11">
        <v>2217627</v>
      </c>
      <c r="H149" s="11">
        <v>8541978</v>
      </c>
      <c r="I149" s="11">
        <f t="shared" ref="I149:I150" si="9">SUM(B149:H149)</f>
        <v>18572295</v>
      </c>
    </row>
    <row r="150" spans="1:9" x14ac:dyDescent="0.35">
      <c r="A150" s="7">
        <v>44703</v>
      </c>
      <c r="B150" s="11">
        <v>770052.52</v>
      </c>
      <c r="C150" s="11">
        <v>2851825.21</v>
      </c>
      <c r="D150" s="11">
        <v>108687.5</v>
      </c>
      <c r="E150" s="11">
        <v>2413823.06</v>
      </c>
      <c r="F150" s="11">
        <v>310810.92</v>
      </c>
      <c r="G150" s="11">
        <v>2058760.22</v>
      </c>
      <c r="H150" s="11">
        <v>8480765</v>
      </c>
      <c r="I150" s="11">
        <f t="shared" si="9"/>
        <v>16994724.43</v>
      </c>
    </row>
    <row r="151" spans="1:9" x14ac:dyDescent="0.35">
      <c r="A151" s="7">
        <v>44734</v>
      </c>
      <c r="B151" s="11">
        <v>630486</v>
      </c>
      <c r="C151" s="11">
        <v>2727502</v>
      </c>
      <c r="D151" s="11">
        <v>122504</v>
      </c>
      <c r="E151" s="11">
        <v>2116732</v>
      </c>
      <c r="F151" s="11">
        <v>354365</v>
      </c>
      <c r="G151" s="11">
        <v>1997746</v>
      </c>
      <c r="H151" s="11">
        <v>9123236</v>
      </c>
      <c r="I151" s="11">
        <f t="shared" ref="I151:I157" si="10">SUM(B151:H151)</f>
        <v>17072571</v>
      </c>
    </row>
    <row r="152" spans="1:9" x14ac:dyDescent="0.35">
      <c r="A152" s="7">
        <v>44764</v>
      </c>
      <c r="B152" s="11">
        <v>551177</v>
      </c>
      <c r="C152" s="11">
        <v>2155598</v>
      </c>
      <c r="D152" s="11">
        <v>106955</v>
      </c>
      <c r="E152" s="11">
        <v>2390591</v>
      </c>
      <c r="F152" s="11">
        <v>333287</v>
      </c>
      <c r="G152" s="11">
        <v>1764951</v>
      </c>
      <c r="H152" s="11">
        <v>7919176</v>
      </c>
      <c r="I152" s="11">
        <f t="shared" si="10"/>
        <v>15221735</v>
      </c>
    </row>
    <row r="153" spans="1:9" x14ac:dyDescent="0.35">
      <c r="A153" s="7">
        <v>44795</v>
      </c>
      <c r="B153" s="11">
        <v>541833</v>
      </c>
      <c r="C153" s="11">
        <v>2913959</v>
      </c>
      <c r="D153" s="11">
        <v>140117</v>
      </c>
      <c r="E153" s="11">
        <v>2819760</v>
      </c>
      <c r="F153" s="11">
        <v>355702</v>
      </c>
      <c r="G153" s="11">
        <v>1492742</v>
      </c>
      <c r="H153" s="11">
        <v>7964549</v>
      </c>
      <c r="I153" s="11">
        <f t="shared" si="10"/>
        <v>16228662</v>
      </c>
    </row>
    <row r="154" spans="1:9" x14ac:dyDescent="0.35">
      <c r="A154" s="7">
        <v>44826</v>
      </c>
      <c r="B154" s="11">
        <v>802513.72</v>
      </c>
      <c r="C154" s="11">
        <v>2864201.76</v>
      </c>
      <c r="D154" s="11">
        <v>123086.5</v>
      </c>
      <c r="E154" s="11">
        <v>2036691.4</v>
      </c>
      <c r="F154" s="11">
        <v>561512.62</v>
      </c>
      <c r="G154" s="11">
        <v>1744305.79</v>
      </c>
      <c r="H154" s="11">
        <v>8470404.9399999995</v>
      </c>
      <c r="I154" s="11">
        <f t="shared" si="10"/>
        <v>16602716.729999999</v>
      </c>
    </row>
    <row r="155" spans="1:9" x14ac:dyDescent="0.35">
      <c r="A155" s="7">
        <v>44856</v>
      </c>
      <c r="B155" s="11">
        <v>890065</v>
      </c>
      <c r="C155" s="11">
        <v>2542734</v>
      </c>
      <c r="D155" s="11">
        <v>93883</v>
      </c>
      <c r="E155" s="11">
        <v>2283490</v>
      </c>
      <c r="F155" s="11">
        <v>406350</v>
      </c>
      <c r="G155" s="11">
        <v>1751231</v>
      </c>
      <c r="H155" s="11">
        <v>7586349</v>
      </c>
      <c r="I155" s="11">
        <f t="shared" si="10"/>
        <v>15554102</v>
      </c>
    </row>
    <row r="156" spans="1:9" x14ac:dyDescent="0.35">
      <c r="A156" s="7">
        <v>44887</v>
      </c>
      <c r="B156" s="67">
        <v>978026</v>
      </c>
      <c r="C156" s="67">
        <v>2829803</v>
      </c>
      <c r="D156" s="67">
        <v>105000</v>
      </c>
      <c r="E156" s="67">
        <v>2609244</v>
      </c>
      <c r="F156" s="67">
        <v>511014</v>
      </c>
      <c r="G156" s="67">
        <v>2157427</v>
      </c>
      <c r="H156" s="67">
        <v>9529569</v>
      </c>
      <c r="I156" s="67">
        <f t="shared" si="10"/>
        <v>18720083</v>
      </c>
    </row>
    <row r="157" spans="1:9" ht="15" thickBot="1" x14ac:dyDescent="0.4">
      <c r="A157" s="15">
        <v>44917</v>
      </c>
      <c r="B157" s="54">
        <v>1188901</v>
      </c>
      <c r="C157" s="54">
        <v>3928971</v>
      </c>
      <c r="D157" s="54">
        <v>230556</v>
      </c>
      <c r="E157" s="54">
        <v>3472795</v>
      </c>
      <c r="F157" s="54">
        <v>525571</v>
      </c>
      <c r="G157" s="54">
        <v>2513715</v>
      </c>
      <c r="H157" s="54">
        <v>15235089</v>
      </c>
      <c r="I157" s="54">
        <f t="shared" si="10"/>
        <v>27095598</v>
      </c>
    </row>
    <row r="158" spans="1:9" x14ac:dyDescent="0.35">
      <c r="A158" s="53">
        <v>44948</v>
      </c>
      <c r="B158" s="70">
        <v>1008629</v>
      </c>
      <c r="C158" s="70">
        <v>2300349</v>
      </c>
      <c r="D158" s="70">
        <v>65434</v>
      </c>
      <c r="E158" s="70">
        <v>1661149</v>
      </c>
      <c r="F158" s="70">
        <v>259511</v>
      </c>
      <c r="G158" s="70">
        <v>972789</v>
      </c>
      <c r="H158" s="70">
        <v>6357099</v>
      </c>
      <c r="I158" s="70">
        <f>SUM(B158:H158)</f>
        <v>12624960</v>
      </c>
    </row>
    <row r="159" spans="1:9" x14ac:dyDescent="0.35">
      <c r="A159" s="7">
        <v>44979</v>
      </c>
      <c r="B159" s="67">
        <v>789860</v>
      </c>
      <c r="C159" s="67">
        <v>2365615</v>
      </c>
      <c r="D159" s="67">
        <v>128436</v>
      </c>
      <c r="E159" s="67">
        <v>2078396</v>
      </c>
      <c r="F159" s="67">
        <v>386897</v>
      </c>
      <c r="G159" s="67">
        <v>1538044</v>
      </c>
      <c r="H159" s="67">
        <v>7361116</v>
      </c>
      <c r="I159" s="11">
        <f>SUM(B159:H159)</f>
        <v>14648364</v>
      </c>
    </row>
    <row r="160" spans="1:9" x14ac:dyDescent="0.35">
      <c r="A160" s="7">
        <v>45007</v>
      </c>
      <c r="B160" s="299">
        <v>953178.25</v>
      </c>
      <c r="C160" s="100">
        <v>3281808.9</v>
      </c>
      <c r="D160" s="100">
        <v>151456.5</v>
      </c>
      <c r="E160" s="100">
        <v>2578150.85</v>
      </c>
      <c r="F160" s="100">
        <v>648641.31000000006</v>
      </c>
      <c r="G160" s="100">
        <v>2406454.66</v>
      </c>
      <c r="H160" s="100">
        <f>122292.21+172114.79+9319815.48</f>
        <v>9614222.4800000004</v>
      </c>
      <c r="I160" s="104">
        <f t="shared" ref="I160:I180" si="11">SUM(B160:H160)</f>
        <v>19633912.950000003</v>
      </c>
    </row>
    <row r="161" spans="1:9" x14ac:dyDescent="0.35">
      <c r="A161" s="7">
        <v>45038</v>
      </c>
      <c r="B161" s="37">
        <v>906355</v>
      </c>
      <c r="C161" s="37">
        <v>2686721</v>
      </c>
      <c r="D161" s="37">
        <v>111158</v>
      </c>
      <c r="E161" s="37">
        <v>2201531</v>
      </c>
      <c r="F161" s="37">
        <v>369767</v>
      </c>
      <c r="G161" s="37">
        <v>1941043</v>
      </c>
      <c r="H161" s="37">
        <v>8062383</v>
      </c>
      <c r="I161" s="11">
        <f t="shared" si="11"/>
        <v>16278958</v>
      </c>
    </row>
    <row r="162" spans="1:9" x14ac:dyDescent="0.35">
      <c r="A162" s="7">
        <v>45068</v>
      </c>
      <c r="B162" s="11">
        <v>707155</v>
      </c>
      <c r="C162" s="11">
        <v>2747807</v>
      </c>
      <c r="D162" s="11">
        <v>102099</v>
      </c>
      <c r="E162" s="11">
        <v>2073772</v>
      </c>
      <c r="F162" s="11">
        <v>293457</v>
      </c>
      <c r="G162" s="11">
        <v>1849063</v>
      </c>
      <c r="H162" s="11">
        <v>8066770</v>
      </c>
      <c r="I162" s="11">
        <f t="shared" si="11"/>
        <v>15840123</v>
      </c>
    </row>
    <row r="163" spans="1:9" x14ac:dyDescent="0.35">
      <c r="A163" s="7">
        <v>45099</v>
      </c>
      <c r="B163" s="11">
        <v>730431</v>
      </c>
      <c r="C163" s="11">
        <v>2822135</v>
      </c>
      <c r="D163" s="11">
        <v>82531</v>
      </c>
      <c r="E163" s="11">
        <v>1816029</v>
      </c>
      <c r="F163" s="11">
        <v>330672</v>
      </c>
      <c r="G163" s="11">
        <v>1949764</v>
      </c>
      <c r="H163" s="11">
        <v>9339252</v>
      </c>
      <c r="I163" s="11">
        <f t="shared" si="11"/>
        <v>17070814</v>
      </c>
    </row>
    <row r="164" spans="1:9" x14ac:dyDescent="0.35">
      <c r="A164" s="7">
        <v>45129</v>
      </c>
      <c r="B164" s="11">
        <v>479474</v>
      </c>
      <c r="C164" s="11">
        <v>2120341</v>
      </c>
      <c r="D164" s="11">
        <v>98240</v>
      </c>
      <c r="E164" s="11">
        <v>2171024</v>
      </c>
      <c r="F164" s="11">
        <v>413846</v>
      </c>
      <c r="G164" s="11">
        <v>1746478</v>
      </c>
      <c r="H164" s="11">
        <v>7464506</v>
      </c>
      <c r="I164" s="11">
        <f t="shared" si="11"/>
        <v>14493909</v>
      </c>
    </row>
    <row r="165" spans="1:9" x14ac:dyDescent="0.35">
      <c r="A165" s="7">
        <v>45160</v>
      </c>
      <c r="B165" s="11">
        <v>653838</v>
      </c>
      <c r="C165" s="11">
        <v>2208758</v>
      </c>
      <c r="D165" s="11">
        <v>132541</v>
      </c>
      <c r="E165" s="11">
        <v>2641336</v>
      </c>
      <c r="F165" s="11">
        <v>300466</v>
      </c>
      <c r="G165" s="11">
        <v>1555876</v>
      </c>
      <c r="H165" s="11">
        <v>7923867</v>
      </c>
      <c r="I165" s="11">
        <f t="shared" si="11"/>
        <v>15416682</v>
      </c>
    </row>
    <row r="166" spans="1:9" x14ac:dyDescent="0.35">
      <c r="A166" s="7">
        <v>45191</v>
      </c>
      <c r="B166" s="11">
        <v>1078505</v>
      </c>
      <c r="C166" s="11">
        <v>2960830</v>
      </c>
      <c r="D166" s="11">
        <v>89404</v>
      </c>
      <c r="E166" s="11">
        <v>1725268</v>
      </c>
      <c r="F166" s="11">
        <v>549535</v>
      </c>
      <c r="G166" s="11">
        <v>1635625</v>
      </c>
      <c r="H166" s="11">
        <v>9006614</v>
      </c>
      <c r="I166" s="11">
        <f t="shared" si="11"/>
        <v>17045781</v>
      </c>
    </row>
    <row r="167" spans="1:9" x14ac:dyDescent="0.35">
      <c r="A167" s="7">
        <v>45221</v>
      </c>
      <c r="B167" s="11">
        <v>902691</v>
      </c>
      <c r="C167" s="11">
        <v>2369083</v>
      </c>
      <c r="D167" s="11">
        <v>86711</v>
      </c>
      <c r="E167" s="11">
        <v>1874159</v>
      </c>
      <c r="F167" s="11">
        <v>414420</v>
      </c>
      <c r="G167" s="11">
        <v>1667758</v>
      </c>
      <c r="H167" s="11">
        <v>8110282</v>
      </c>
      <c r="I167" s="11">
        <f t="shared" si="11"/>
        <v>15425104</v>
      </c>
    </row>
    <row r="168" spans="1:9" x14ac:dyDescent="0.35">
      <c r="A168" s="7">
        <v>45252</v>
      </c>
      <c r="B168" s="100">
        <v>966592.75</v>
      </c>
      <c r="C168" s="100">
        <v>2502121.7000000002</v>
      </c>
      <c r="D168" s="100">
        <v>107022.5</v>
      </c>
      <c r="E168" s="100">
        <v>2297604.16</v>
      </c>
      <c r="F168" s="100">
        <v>508271.65</v>
      </c>
      <c r="G168" s="100">
        <v>2207913.75</v>
      </c>
      <c r="H168" s="122">
        <f>63496.87+202738.6+9870096.95</f>
        <v>10136332.42</v>
      </c>
      <c r="I168" s="67">
        <f t="shared" si="11"/>
        <v>18725858.93</v>
      </c>
    </row>
    <row r="169" spans="1:9" ht="15" thickBot="1" x14ac:dyDescent="0.4">
      <c r="A169" s="15">
        <v>45282</v>
      </c>
      <c r="B169" s="99">
        <v>1378688.86</v>
      </c>
      <c r="C169" s="99">
        <v>3877137.53</v>
      </c>
      <c r="D169" s="99">
        <v>168585.25</v>
      </c>
      <c r="E169" s="99">
        <v>3041082.33</v>
      </c>
      <c r="F169" s="99">
        <v>757416.1</v>
      </c>
      <c r="G169" s="99">
        <v>2954302.6</v>
      </c>
      <c r="H169" s="309">
        <f>79183.23+212927.45+14825988.05</f>
        <v>15118098.73</v>
      </c>
      <c r="I169" s="54">
        <f t="shared" si="11"/>
        <v>27295311.399999999</v>
      </c>
    </row>
    <row r="170" spans="1:9" x14ac:dyDescent="0.35">
      <c r="A170" s="53">
        <v>45313</v>
      </c>
      <c r="B170" s="132">
        <v>1800513.41</v>
      </c>
      <c r="C170" s="312">
        <v>1941380.11</v>
      </c>
      <c r="D170" s="312">
        <v>70460</v>
      </c>
      <c r="E170" s="312">
        <v>1561708.4</v>
      </c>
      <c r="F170" s="312">
        <v>440169.63</v>
      </c>
      <c r="G170" s="312">
        <v>1491774.03</v>
      </c>
      <c r="H170" s="312">
        <f>60213.69+130410.7+8887647.86</f>
        <v>9078272.25</v>
      </c>
      <c r="I170" s="105">
        <f t="shared" si="11"/>
        <v>16384277.83</v>
      </c>
    </row>
    <row r="171" spans="1:9" x14ac:dyDescent="0.35">
      <c r="A171" s="7">
        <v>45344</v>
      </c>
      <c r="B171" s="100">
        <v>1464599.07</v>
      </c>
      <c r="C171" s="100">
        <v>2310639.7200000002</v>
      </c>
      <c r="D171" s="100">
        <v>114122.6</v>
      </c>
      <c r="E171" s="100">
        <v>1966692.37</v>
      </c>
      <c r="F171" s="100">
        <v>354189.2</v>
      </c>
      <c r="G171" s="100">
        <v>1400215.46</v>
      </c>
      <c r="H171" s="100">
        <f>67914.93+218467.77+11703429.89</f>
        <v>11989812.59</v>
      </c>
      <c r="I171" s="67">
        <f t="shared" si="11"/>
        <v>19600271.009999998</v>
      </c>
    </row>
    <row r="172" spans="1:9" x14ac:dyDescent="0.35">
      <c r="A172" s="7">
        <v>45373</v>
      </c>
      <c r="B172" s="100">
        <v>1778069.67</v>
      </c>
      <c r="C172" s="100">
        <v>3161647.7</v>
      </c>
      <c r="D172" s="100">
        <v>122492.8</v>
      </c>
      <c r="E172" s="100">
        <v>2420574.4900000002</v>
      </c>
      <c r="F172" s="100">
        <v>710739.62</v>
      </c>
      <c r="G172" s="100">
        <v>2413585.77</v>
      </c>
      <c r="H172" s="101">
        <f>66837.23+157085.31+12760241.38</f>
        <v>12984163.92</v>
      </c>
      <c r="I172" s="105">
        <f t="shared" si="11"/>
        <v>23591273.969999999</v>
      </c>
    </row>
    <row r="173" spans="1:9" x14ac:dyDescent="0.35">
      <c r="A173" s="7">
        <v>45404</v>
      </c>
      <c r="B173" s="100">
        <v>1606912.34</v>
      </c>
      <c r="C173" s="100">
        <v>2420544.84</v>
      </c>
      <c r="D173" s="100">
        <v>71331.5</v>
      </c>
      <c r="E173" s="100">
        <v>1793379.81</v>
      </c>
      <c r="F173" s="100">
        <v>204269.69</v>
      </c>
      <c r="G173" s="100">
        <v>1765295.13</v>
      </c>
      <c r="H173" s="122">
        <f>77364.78+98511.82+8101352</f>
        <v>8277228.5999999996</v>
      </c>
      <c r="I173" s="67">
        <f>SUM(B173:H173)</f>
        <v>16138961.91</v>
      </c>
    </row>
    <row r="174" spans="1:9" x14ac:dyDescent="0.35">
      <c r="A174" s="42">
        <v>45434</v>
      </c>
      <c r="B174" s="11">
        <v>1252373.04</v>
      </c>
      <c r="C174" s="11">
        <v>2478719.88</v>
      </c>
      <c r="D174" s="11">
        <v>8199.5</v>
      </c>
      <c r="E174" s="11">
        <v>2547655.79</v>
      </c>
      <c r="F174" s="11">
        <v>380148.55</v>
      </c>
      <c r="G174" s="11">
        <v>1844401.19</v>
      </c>
      <c r="H174" s="11">
        <v>8295406.5700000003</v>
      </c>
      <c r="I174" s="105">
        <f t="shared" si="11"/>
        <v>16806904.52</v>
      </c>
    </row>
    <row r="175" spans="1:9" x14ac:dyDescent="0.35">
      <c r="A175" s="7">
        <v>45465</v>
      </c>
      <c r="B175" s="11">
        <v>1312981.74</v>
      </c>
      <c r="C175" s="11">
        <v>2441612.4900000002</v>
      </c>
      <c r="D175" s="11">
        <v>7506</v>
      </c>
      <c r="E175" s="11">
        <v>1636004.3</v>
      </c>
      <c r="F175" s="11">
        <v>342559.39</v>
      </c>
      <c r="G175" s="11">
        <v>1866152.83</v>
      </c>
      <c r="H175" s="11">
        <v>9198428.3100000005</v>
      </c>
      <c r="I175" s="67">
        <f>SUM(B175:H175)</f>
        <v>16805245.060000002</v>
      </c>
    </row>
    <row r="176" spans="1:9" x14ac:dyDescent="0.35">
      <c r="A176" s="7">
        <v>45495</v>
      </c>
      <c r="B176" s="11">
        <v>512481.26</v>
      </c>
      <c r="C176" s="11">
        <v>2047478.66</v>
      </c>
      <c r="D176" s="11">
        <v>7474</v>
      </c>
      <c r="E176" s="11">
        <v>2651013.36</v>
      </c>
      <c r="F176" s="11">
        <v>388853.83</v>
      </c>
      <c r="G176" s="11">
        <v>1767072.05</v>
      </c>
      <c r="H176" s="11">
        <v>10297232.149999999</v>
      </c>
      <c r="I176" s="105">
        <f t="shared" si="11"/>
        <v>17671605.309999999</v>
      </c>
    </row>
    <row r="177" spans="1:9" x14ac:dyDescent="0.35">
      <c r="A177" s="7">
        <v>45526</v>
      </c>
      <c r="B177" s="11">
        <v>674041.17</v>
      </c>
      <c r="C177" s="11">
        <v>2328702.4</v>
      </c>
      <c r="D177" s="11">
        <v>7839.5</v>
      </c>
      <c r="E177" s="11">
        <v>2009242.96</v>
      </c>
      <c r="F177" s="11">
        <v>578382.57999999996</v>
      </c>
      <c r="G177" s="11">
        <v>1490730.46</v>
      </c>
      <c r="H177" s="11">
        <v>7976135.9299999997</v>
      </c>
      <c r="I177" s="67">
        <f>SUM(B177:H177)</f>
        <v>15065075</v>
      </c>
    </row>
    <row r="178" spans="1:9" x14ac:dyDescent="0.35">
      <c r="A178" s="42">
        <v>45557</v>
      </c>
      <c r="B178" s="11">
        <v>856794.28</v>
      </c>
      <c r="C178" s="11">
        <v>2704489.63</v>
      </c>
      <c r="D178" s="11">
        <v>8046</v>
      </c>
      <c r="E178" s="11">
        <v>1518249.92</v>
      </c>
      <c r="F178" s="11">
        <v>449017.24</v>
      </c>
      <c r="G178" s="11">
        <v>1580383.38</v>
      </c>
      <c r="H178" s="11">
        <v>8836265.9800000004</v>
      </c>
      <c r="I178" s="105">
        <f t="shared" si="11"/>
        <v>15953246.43</v>
      </c>
    </row>
    <row r="179" spans="1:9" x14ac:dyDescent="0.35">
      <c r="A179" s="7">
        <v>45587</v>
      </c>
      <c r="B179" s="11">
        <v>945241.83</v>
      </c>
      <c r="C179" s="11">
        <v>2245697.52</v>
      </c>
      <c r="D179" s="11">
        <v>8183.5</v>
      </c>
      <c r="E179" s="11">
        <v>1565819.64</v>
      </c>
      <c r="F179" s="11">
        <v>414631.62</v>
      </c>
      <c r="G179" s="11">
        <v>1601142.04</v>
      </c>
      <c r="H179" s="11">
        <v>9925595.7200000007</v>
      </c>
      <c r="I179" s="67">
        <f>SUM(B179:H179)</f>
        <v>16706311.870000001</v>
      </c>
    </row>
    <row r="180" spans="1:9" x14ac:dyDescent="0.35">
      <c r="A180" s="7">
        <v>45618</v>
      </c>
      <c r="B180" s="100">
        <v>855760.63</v>
      </c>
      <c r="C180" s="100">
        <v>2742029.93</v>
      </c>
      <c r="D180" s="100">
        <v>9498</v>
      </c>
      <c r="E180" s="100">
        <v>1870668.55</v>
      </c>
      <c r="F180" s="100">
        <v>492265.19</v>
      </c>
      <c r="G180" s="100">
        <v>2045379.09</v>
      </c>
      <c r="H180" s="100">
        <v>10989904.92</v>
      </c>
      <c r="I180" s="105">
        <f t="shared" si="11"/>
        <v>19005506.310000002</v>
      </c>
    </row>
    <row r="181" spans="1:9" ht="15" thickBot="1" x14ac:dyDescent="0.4">
      <c r="A181" s="15">
        <v>45648</v>
      </c>
      <c r="B181" s="99">
        <v>1133973.48</v>
      </c>
      <c r="C181" s="99">
        <v>3562750.77</v>
      </c>
      <c r="D181" s="99">
        <v>10430.5</v>
      </c>
      <c r="E181" s="99">
        <v>2876238.13</v>
      </c>
      <c r="F181" s="99">
        <v>583785.61</v>
      </c>
      <c r="G181" s="99">
        <v>2475337.6</v>
      </c>
      <c r="H181" s="309">
        <v>15675932.310000001</v>
      </c>
      <c r="I181" s="54">
        <v>26318448.399999999</v>
      </c>
    </row>
    <row r="182" spans="1:9" x14ac:dyDescent="0.35">
      <c r="A182" s="16"/>
      <c r="B182" s="66"/>
      <c r="C182" s="66"/>
      <c r="D182" s="66"/>
      <c r="E182" s="66"/>
      <c r="F182" s="66"/>
      <c r="G182" s="66"/>
      <c r="H182" s="66"/>
      <c r="I182" s="66"/>
    </row>
    <row r="183" spans="1:9" ht="15" thickBot="1" x14ac:dyDescent="0.4">
      <c r="A183" s="16"/>
      <c r="B183" s="12"/>
      <c r="C183" s="12"/>
      <c r="D183" s="12"/>
      <c r="E183" s="12"/>
      <c r="F183" s="12"/>
      <c r="G183" s="12"/>
    </row>
    <row r="184" spans="1:9" x14ac:dyDescent="0.35">
      <c r="A184" s="1" t="s">
        <v>9</v>
      </c>
      <c r="B184" s="2" t="s">
        <v>229</v>
      </c>
      <c r="C184" s="2" t="s">
        <v>230</v>
      </c>
      <c r="D184" s="2" t="s">
        <v>231</v>
      </c>
      <c r="E184" s="3" t="s">
        <v>232</v>
      </c>
      <c r="F184" s="2" t="s">
        <v>233</v>
      </c>
      <c r="G184" s="3" t="s">
        <v>234</v>
      </c>
      <c r="H184" s="2" t="s">
        <v>235</v>
      </c>
      <c r="I184" s="2" t="s">
        <v>236</v>
      </c>
    </row>
    <row r="185" spans="1:9" x14ac:dyDescent="0.35">
      <c r="A185" s="18">
        <v>2010</v>
      </c>
      <c r="B185" s="11">
        <f t="shared" ref="B185:I185" si="12">SUM(B2:B13)</f>
        <v>8764269</v>
      </c>
      <c r="C185" s="11">
        <f t="shared" si="12"/>
        <v>39436451</v>
      </c>
      <c r="D185" s="11">
        <f t="shared" si="12"/>
        <v>895425</v>
      </c>
      <c r="E185" s="104">
        <f t="shared" si="12"/>
        <v>23661998</v>
      </c>
      <c r="F185" s="11">
        <f t="shared" si="12"/>
        <v>6072920</v>
      </c>
      <c r="G185" s="104">
        <f t="shared" si="12"/>
        <v>40281290</v>
      </c>
      <c r="H185" s="11">
        <f t="shared" si="12"/>
        <v>83262144</v>
      </c>
      <c r="I185" s="11">
        <f t="shared" si="12"/>
        <v>202374497</v>
      </c>
    </row>
    <row r="186" spans="1:9" x14ac:dyDescent="0.35">
      <c r="A186" s="18">
        <v>2011</v>
      </c>
      <c r="B186" s="11">
        <f t="shared" ref="B186:B196" ca="1" si="13">SUM(OFFSET($B$2,(12*(ROW(B2)-1)),0,12,1))</f>
        <v>10107408</v>
      </c>
      <c r="C186" s="11">
        <f t="shared" ref="C186:C196" ca="1" si="14">SUM(OFFSET($C$2,(12*(ROW(C2)-1)),0,12,1))</f>
        <v>42365270</v>
      </c>
      <c r="D186" s="11">
        <f t="shared" ref="D186:D196" ca="1" si="15">SUM(OFFSET($D$2,(12*(ROW(D2)-1)),0,12,1))</f>
        <v>860675</v>
      </c>
      <c r="E186" s="104">
        <f t="shared" ref="E186:E196" ca="1" si="16">SUM(OFFSET($E$2,(12*(ROW(E2)-1)),0,12,1))</f>
        <v>24808733</v>
      </c>
      <c r="F186" s="11">
        <f t="shared" ref="F186:F196" ca="1" si="17">SUM(OFFSET($F$2,(12*(ROW(F2)-1)),0,12,1))</f>
        <v>6870134</v>
      </c>
      <c r="G186" s="104">
        <f t="shared" ref="G186:G196" ca="1" si="18">SUM(OFFSET($G$2,(12*(ROW(G2)-1)),0,12,1))</f>
        <v>39254165</v>
      </c>
      <c r="H186" s="11">
        <f t="shared" ref="H186:H196" ca="1" si="19">SUM(OFFSET($H$2,(12*(ROW(H2)-1)),0,12,1))</f>
        <v>89842655</v>
      </c>
      <c r="I186" s="11">
        <f t="shared" ref="I186:I196" ca="1" si="20">SUM(OFFSET($I$2,(12*(ROW(I2)-1)),0,12,1))</f>
        <v>214109040</v>
      </c>
    </row>
    <row r="187" spans="1:9" x14ac:dyDescent="0.35">
      <c r="A187" s="18">
        <v>2012</v>
      </c>
      <c r="B187" s="11">
        <f t="shared" ca="1" si="13"/>
        <v>10472178</v>
      </c>
      <c r="C187" s="11">
        <f t="shared" ca="1" si="14"/>
        <v>47772905</v>
      </c>
      <c r="D187" s="11">
        <f t="shared" ca="1" si="15"/>
        <v>1876331</v>
      </c>
      <c r="E187" s="104">
        <f t="shared" ca="1" si="16"/>
        <v>26542003</v>
      </c>
      <c r="F187" s="11">
        <f t="shared" ca="1" si="17"/>
        <v>7344230</v>
      </c>
      <c r="G187" s="104">
        <f t="shared" ca="1" si="18"/>
        <v>38910638</v>
      </c>
      <c r="H187" s="11">
        <f t="shared" ca="1" si="19"/>
        <v>97377081</v>
      </c>
      <c r="I187" s="11">
        <f t="shared" ca="1" si="20"/>
        <v>230295366</v>
      </c>
    </row>
    <row r="188" spans="1:9" x14ac:dyDescent="0.35">
      <c r="A188" s="18">
        <v>2013</v>
      </c>
      <c r="B188" s="11">
        <f t="shared" ca="1" si="13"/>
        <v>11226579</v>
      </c>
      <c r="C188" s="11">
        <f t="shared" ca="1" si="14"/>
        <v>50232519</v>
      </c>
      <c r="D188" s="11">
        <f t="shared" ca="1" si="15"/>
        <v>2083413</v>
      </c>
      <c r="E188" s="104">
        <f t="shared" ca="1" si="16"/>
        <v>29405799</v>
      </c>
      <c r="F188" s="11">
        <f t="shared" ca="1" si="17"/>
        <v>7470431</v>
      </c>
      <c r="G188" s="104">
        <f t="shared" ca="1" si="18"/>
        <v>39520964</v>
      </c>
      <c r="H188" s="11">
        <f t="shared" ca="1" si="19"/>
        <v>96057663</v>
      </c>
      <c r="I188" s="11">
        <f t="shared" ca="1" si="20"/>
        <v>235997368</v>
      </c>
    </row>
    <row r="189" spans="1:9" x14ac:dyDescent="0.35">
      <c r="A189" s="18">
        <v>2014</v>
      </c>
      <c r="B189" s="11">
        <f t="shared" ca="1" si="13"/>
        <v>10960678</v>
      </c>
      <c r="C189" s="11">
        <f t="shared" ca="1" si="14"/>
        <v>46143357</v>
      </c>
      <c r="D189" s="11">
        <f t="shared" ca="1" si="15"/>
        <v>1978350</v>
      </c>
      <c r="E189" s="104">
        <f t="shared" ca="1" si="16"/>
        <v>33533175</v>
      </c>
      <c r="F189" s="11">
        <f t="shared" ca="1" si="17"/>
        <v>8334308.8100000005</v>
      </c>
      <c r="G189" s="104">
        <f t="shared" ca="1" si="18"/>
        <v>36184553</v>
      </c>
      <c r="H189" s="11">
        <f t="shared" ca="1" si="19"/>
        <v>99705124</v>
      </c>
      <c r="I189" s="11">
        <f t="shared" ca="1" si="20"/>
        <v>236839545.81</v>
      </c>
    </row>
    <row r="190" spans="1:9" x14ac:dyDescent="0.35">
      <c r="A190" s="18">
        <v>2015</v>
      </c>
      <c r="B190" s="11">
        <f t="shared" ca="1" si="13"/>
        <v>11134426.23</v>
      </c>
      <c r="C190" s="11">
        <f t="shared" ca="1" si="14"/>
        <v>44972468.619999997</v>
      </c>
      <c r="D190" s="11">
        <f t="shared" ca="1" si="15"/>
        <v>1987950.33</v>
      </c>
      <c r="E190" s="104">
        <f t="shared" ca="1" si="16"/>
        <v>30201899.369999997</v>
      </c>
      <c r="F190" s="11">
        <f t="shared" ca="1" si="17"/>
        <v>9184139.6399999987</v>
      </c>
      <c r="G190" s="104">
        <f t="shared" ca="1" si="18"/>
        <v>30815830.5</v>
      </c>
      <c r="H190" s="11">
        <f t="shared" ca="1" si="19"/>
        <v>93690777.38000001</v>
      </c>
      <c r="I190" s="11">
        <f t="shared" ca="1" si="20"/>
        <v>221987492.06999999</v>
      </c>
    </row>
    <row r="191" spans="1:9" x14ac:dyDescent="0.35">
      <c r="A191" s="18">
        <v>2016</v>
      </c>
      <c r="B191" s="11">
        <f t="shared" ca="1" si="13"/>
        <v>12072116.77</v>
      </c>
      <c r="C191" s="11">
        <f t="shared" ca="1" si="14"/>
        <v>44614653.329999998</v>
      </c>
      <c r="D191" s="11">
        <f t="shared" ca="1" si="15"/>
        <v>1698071.24</v>
      </c>
      <c r="E191" s="104">
        <f t="shared" ca="1" si="16"/>
        <v>29661460.909999996</v>
      </c>
      <c r="F191" s="11">
        <f t="shared" ca="1" si="17"/>
        <v>8678475.1900000013</v>
      </c>
      <c r="G191" s="104">
        <f t="shared" ca="1" si="18"/>
        <v>31703944.310000002</v>
      </c>
      <c r="H191" s="11">
        <f t="shared" ca="1" si="19"/>
        <v>90696727.659999996</v>
      </c>
      <c r="I191" s="11">
        <f t="shared" ca="1" si="20"/>
        <v>219125449.41000003</v>
      </c>
    </row>
    <row r="192" spans="1:9" x14ac:dyDescent="0.35">
      <c r="A192" s="98">
        <v>2017</v>
      </c>
      <c r="B192" s="67">
        <f t="shared" ca="1" si="13"/>
        <v>10553361.780000001</v>
      </c>
      <c r="C192" s="67">
        <f t="shared" ca="1" si="14"/>
        <v>39895002.599999994</v>
      </c>
      <c r="D192" s="67">
        <f t="shared" ca="1" si="15"/>
        <v>1607467.8199999998</v>
      </c>
      <c r="E192" s="105">
        <f t="shared" ca="1" si="16"/>
        <v>25939592.650000002</v>
      </c>
      <c r="F192" s="67">
        <f t="shared" ca="1" si="17"/>
        <v>8529948.3800000008</v>
      </c>
      <c r="G192" s="105">
        <f t="shared" ca="1" si="18"/>
        <v>29359324.93</v>
      </c>
      <c r="H192" s="67">
        <f t="shared" ca="1" si="19"/>
        <v>82105459.590000004</v>
      </c>
      <c r="I192" s="67">
        <f t="shared" ca="1" si="20"/>
        <v>197990157.75</v>
      </c>
    </row>
    <row r="193" spans="1:9" x14ac:dyDescent="0.35">
      <c r="A193" s="36">
        <v>2018</v>
      </c>
      <c r="B193" s="37">
        <f t="shared" ca="1" si="13"/>
        <v>10865191.189999999</v>
      </c>
      <c r="C193" s="37">
        <f t="shared" ca="1" si="14"/>
        <v>38492292.5</v>
      </c>
      <c r="D193" s="37">
        <f t="shared" ca="1" si="15"/>
        <v>1466094.8199999998</v>
      </c>
      <c r="E193" s="44">
        <f t="shared" ca="1" si="16"/>
        <v>26535149.949999999</v>
      </c>
      <c r="F193" s="37">
        <f t="shared" ca="1" si="17"/>
        <v>8550332.6699999999</v>
      </c>
      <c r="G193" s="44">
        <f t="shared" ca="1" si="18"/>
        <v>22530193.469999999</v>
      </c>
      <c r="H193" s="37">
        <f t="shared" ca="1" si="19"/>
        <v>83036841.330000013</v>
      </c>
      <c r="I193" s="37">
        <f t="shared" ca="1" si="20"/>
        <v>191476095.92999998</v>
      </c>
    </row>
    <row r="194" spans="1:9" x14ac:dyDescent="0.35">
      <c r="A194" s="18">
        <v>2019</v>
      </c>
      <c r="B194" s="11">
        <f t="shared" ca="1" si="13"/>
        <v>10181450.42</v>
      </c>
      <c r="C194" s="11">
        <f t="shared" ca="1" si="14"/>
        <v>37174875.749999993</v>
      </c>
      <c r="D194" s="11">
        <f t="shared" ca="1" si="15"/>
        <v>1351806.7950000002</v>
      </c>
      <c r="E194" s="11">
        <f t="shared" ca="1" si="16"/>
        <v>25858406.850000001</v>
      </c>
      <c r="F194" s="11">
        <f t="shared" ca="1" si="17"/>
        <v>7446965.2800000003</v>
      </c>
      <c r="G194" s="11">
        <f t="shared" ca="1" si="18"/>
        <v>19458984.940000001</v>
      </c>
      <c r="H194" s="11">
        <f t="shared" ca="1" si="19"/>
        <v>86540530.50999999</v>
      </c>
      <c r="I194" s="11">
        <f t="shared" ca="1" si="20"/>
        <v>188013020.54499996</v>
      </c>
    </row>
    <row r="195" spans="1:9" x14ac:dyDescent="0.35">
      <c r="A195" s="18">
        <v>2020</v>
      </c>
      <c r="B195" s="11">
        <f t="shared" ca="1" si="13"/>
        <v>6154947.7700000005</v>
      </c>
      <c r="C195" s="11">
        <f t="shared" ca="1" si="14"/>
        <v>24124588.910000004</v>
      </c>
      <c r="D195" s="11">
        <f t="shared" ca="1" si="15"/>
        <v>1373248</v>
      </c>
      <c r="E195" s="11">
        <f t="shared" ca="1" si="16"/>
        <v>20356352.199999999</v>
      </c>
      <c r="F195" s="11">
        <f t="shared" ca="1" si="17"/>
        <v>4916896.9300000006</v>
      </c>
      <c r="G195" s="11">
        <f t="shared" ca="1" si="18"/>
        <v>16413560.550000001</v>
      </c>
      <c r="H195" s="11">
        <f t="shared" ca="1" si="19"/>
        <v>76971045.819999993</v>
      </c>
      <c r="I195" s="11">
        <f t="shared" ca="1" si="20"/>
        <v>150310640.18000001</v>
      </c>
    </row>
    <row r="196" spans="1:9" x14ac:dyDescent="0.35">
      <c r="A196" s="18">
        <v>2021</v>
      </c>
      <c r="B196" s="11">
        <f t="shared" ca="1" si="13"/>
        <v>8157604.0399999991</v>
      </c>
      <c r="C196" s="11">
        <f t="shared" ca="1" si="14"/>
        <v>33899263.949999996</v>
      </c>
      <c r="D196" s="11">
        <f t="shared" ca="1" si="15"/>
        <v>1618573.5</v>
      </c>
      <c r="E196" s="11">
        <f t="shared" ca="1" si="16"/>
        <v>28161028.620000001</v>
      </c>
      <c r="F196" s="11">
        <f t="shared" ca="1" si="17"/>
        <v>7022173.9000000004</v>
      </c>
      <c r="G196" s="11">
        <f t="shared" ca="1" si="18"/>
        <v>24883382.330000002</v>
      </c>
      <c r="H196" s="11">
        <f t="shared" ca="1" si="19"/>
        <v>107801981.63999999</v>
      </c>
      <c r="I196" s="11">
        <f t="shared" ca="1" si="20"/>
        <v>211544007.97999999</v>
      </c>
    </row>
    <row r="197" spans="1:9" x14ac:dyDescent="0.35">
      <c r="A197" s="18">
        <v>2022</v>
      </c>
      <c r="B197" s="11">
        <f t="shared" ref="B197:I197" si="21">SUM(B146:B157)</f>
        <v>9802885.4400000013</v>
      </c>
      <c r="C197" s="11">
        <f t="shared" si="21"/>
        <v>33742585.950000003</v>
      </c>
      <c r="D197" s="11">
        <f t="shared" si="21"/>
        <v>1462412.75</v>
      </c>
      <c r="E197" s="11">
        <f t="shared" si="21"/>
        <v>29463284.039999999</v>
      </c>
      <c r="F197" s="11">
        <f t="shared" si="21"/>
        <v>5232078.93</v>
      </c>
      <c r="G197" s="11">
        <f t="shared" si="21"/>
        <v>22242059.789999999</v>
      </c>
      <c r="H197" s="11">
        <f t="shared" si="21"/>
        <v>105683874.26000001</v>
      </c>
      <c r="I197" s="11">
        <f t="shared" si="21"/>
        <v>207629181.16</v>
      </c>
    </row>
    <row r="198" spans="1:9" x14ac:dyDescent="0.35">
      <c r="A198" s="18">
        <v>2023</v>
      </c>
      <c r="B198" s="11">
        <f t="shared" ref="B198:I198" si="22">SUM(B158:B169)</f>
        <v>10555397.859999999</v>
      </c>
      <c r="C198" s="11">
        <f t="shared" si="22"/>
        <v>32242707.129999999</v>
      </c>
      <c r="D198" s="11">
        <f t="shared" si="22"/>
        <v>1323618.25</v>
      </c>
      <c r="E198" s="11">
        <f t="shared" si="22"/>
        <v>26159501.340000004</v>
      </c>
      <c r="F198" s="11">
        <f t="shared" si="22"/>
        <v>5232900.0599999996</v>
      </c>
      <c r="G198" s="11">
        <f t="shared" si="22"/>
        <v>22425111.010000002</v>
      </c>
      <c r="H198" s="11">
        <f t="shared" si="22"/>
        <v>106560542.63000001</v>
      </c>
      <c r="I198" s="11">
        <f t="shared" si="22"/>
        <v>204499778.28</v>
      </c>
    </row>
    <row r="199" spans="1:9" ht="15" thickBot="1" x14ac:dyDescent="0.4">
      <c r="A199" s="189" t="s">
        <v>12</v>
      </c>
      <c r="B199" s="46">
        <f>SUM(B170:B181)</f>
        <v>14193741.92</v>
      </c>
      <c r="C199" s="46">
        <f>SUM(C170:C181)</f>
        <v>30385693.649999995</v>
      </c>
      <c r="D199" s="46">
        <f t="shared" ref="D199:I199" si="23">SUM(D170:D181)</f>
        <v>445583.9</v>
      </c>
      <c r="E199" s="46">
        <f t="shared" si="23"/>
        <v>24417247.719999999</v>
      </c>
      <c r="F199" s="46">
        <f t="shared" si="23"/>
        <v>5339012.1500000013</v>
      </c>
      <c r="G199" s="46">
        <f t="shared" si="23"/>
        <v>21741469.030000001</v>
      </c>
      <c r="H199" s="46">
        <f t="shared" si="23"/>
        <v>123524379.25</v>
      </c>
      <c r="I199" s="46">
        <f t="shared" si="23"/>
        <v>220047127.62000003</v>
      </c>
    </row>
    <row r="200" spans="1:9" ht="15" thickBot="1" x14ac:dyDescent="0.4">
      <c r="A200" s="16"/>
      <c r="B200" s="12"/>
      <c r="C200" s="12"/>
      <c r="D200" s="12"/>
      <c r="E200" s="12"/>
      <c r="F200" s="12"/>
      <c r="G200" s="12"/>
    </row>
    <row r="201" spans="1:9" ht="15" thickBot="1" x14ac:dyDescent="0.4">
      <c r="A201" s="87"/>
      <c r="B201" s="38" t="s">
        <v>229</v>
      </c>
      <c r="C201" s="79" t="s">
        <v>230</v>
      </c>
      <c r="D201" s="38" t="s">
        <v>231</v>
      </c>
      <c r="E201" s="79" t="s">
        <v>232</v>
      </c>
      <c r="F201" s="38" t="s">
        <v>233</v>
      </c>
      <c r="G201" s="79" t="s">
        <v>234</v>
      </c>
      <c r="H201" s="38" t="s">
        <v>235</v>
      </c>
      <c r="I201" s="80" t="s">
        <v>236</v>
      </c>
    </row>
    <row r="202" spans="1:9" x14ac:dyDescent="0.35">
      <c r="A202" s="188" t="s">
        <v>11</v>
      </c>
      <c r="B202" s="91">
        <f>SUM(B158:B169)</f>
        <v>10555397.859999999</v>
      </c>
      <c r="C202" s="91">
        <f>SUM(C158:C169)</f>
        <v>32242707.129999999</v>
      </c>
      <c r="D202" s="91">
        <f t="shared" ref="D202:I202" si="24">SUM(D158:D169)</f>
        <v>1323618.25</v>
      </c>
      <c r="E202" s="91">
        <f t="shared" si="24"/>
        <v>26159501.340000004</v>
      </c>
      <c r="F202" s="91">
        <f t="shared" si="24"/>
        <v>5232900.0599999996</v>
      </c>
      <c r="G202" s="91">
        <f t="shared" si="24"/>
        <v>22425111.010000002</v>
      </c>
      <c r="H202" s="91">
        <f t="shared" si="24"/>
        <v>106560542.63000001</v>
      </c>
      <c r="I202" s="91">
        <f t="shared" si="24"/>
        <v>204499778.28</v>
      </c>
    </row>
    <row r="203" spans="1:9" x14ac:dyDescent="0.35">
      <c r="A203" s="188" t="s">
        <v>12</v>
      </c>
      <c r="B203" s="91">
        <f>SUM(B170:B181)</f>
        <v>14193741.92</v>
      </c>
      <c r="C203" s="91">
        <f>SUM(C170:C181)</f>
        <v>30385693.649999995</v>
      </c>
      <c r="D203" s="91">
        <f t="shared" ref="D203:I203" si="25">SUM(D170:D181)</f>
        <v>445583.9</v>
      </c>
      <c r="E203" s="91">
        <f t="shared" si="25"/>
        <v>24417247.719999999</v>
      </c>
      <c r="F203" s="91">
        <f t="shared" si="25"/>
        <v>5339012.1500000013</v>
      </c>
      <c r="G203" s="91">
        <f t="shared" si="25"/>
        <v>21741469.030000001</v>
      </c>
      <c r="H203" s="91">
        <f t="shared" si="25"/>
        <v>123524379.25</v>
      </c>
      <c r="I203" s="91">
        <f t="shared" si="25"/>
        <v>220047127.62000003</v>
      </c>
    </row>
    <row r="204" spans="1:9" ht="29.5" thickBot="1" x14ac:dyDescent="0.4">
      <c r="A204" s="83" t="s">
        <v>28</v>
      </c>
      <c r="B204" s="92">
        <f>(B203-B202)/B202</f>
        <v>0.3446903762659308</v>
      </c>
      <c r="C204" s="89">
        <f t="shared" ref="C204:I204" si="26">(C203-C202)/C202</f>
        <v>-5.7594837570948222E-2</v>
      </c>
      <c r="D204" s="92">
        <f t="shared" si="26"/>
        <v>-0.66335920496714218</v>
      </c>
      <c r="E204" s="89">
        <f t="shared" si="26"/>
        <v>-6.6601178568184607E-2</v>
      </c>
      <c r="F204" s="92">
        <f t="shared" si="26"/>
        <v>2.027787436857751E-2</v>
      </c>
      <c r="G204" s="89">
        <f t="shared" si="26"/>
        <v>-3.0485556111412106E-2</v>
      </c>
      <c r="H204" s="92">
        <f t="shared" si="26"/>
        <v>0.15919435281877176</v>
      </c>
      <c r="I204" s="94">
        <f t="shared" si="26"/>
        <v>7.6026240569868425E-2</v>
      </c>
    </row>
    <row r="205" spans="1:9" ht="15" thickBot="1" x14ac:dyDescent="0.4">
      <c r="A205" s="16"/>
      <c r="B205" s="12"/>
      <c r="C205" s="12"/>
      <c r="D205" s="12"/>
      <c r="E205" s="12"/>
      <c r="F205" s="12"/>
      <c r="G205" s="12"/>
    </row>
    <row r="206" spans="1:9" ht="15" thickBot="1" x14ac:dyDescent="0.4">
      <c r="A206" s="87"/>
      <c r="B206" s="38" t="s">
        <v>229</v>
      </c>
      <c r="C206" s="79" t="s">
        <v>230</v>
      </c>
      <c r="D206" s="38" t="s">
        <v>231</v>
      </c>
      <c r="E206" s="79" t="s">
        <v>232</v>
      </c>
      <c r="F206" s="38" t="s">
        <v>233</v>
      </c>
      <c r="G206" s="79" t="s">
        <v>234</v>
      </c>
      <c r="H206" s="38" t="s">
        <v>235</v>
      </c>
      <c r="I206" s="80" t="s">
        <v>236</v>
      </c>
    </row>
    <row r="207" spans="1:9" ht="29" x14ac:dyDescent="0.35">
      <c r="A207" s="47" t="s">
        <v>17</v>
      </c>
      <c r="B207" s="90">
        <f>B169</f>
        <v>1378688.86</v>
      </c>
      <c r="C207" s="90">
        <f>C169</f>
        <v>3877137.53</v>
      </c>
      <c r="D207" s="90">
        <f t="shared" ref="D207:I207" si="27">D169</f>
        <v>168585.25</v>
      </c>
      <c r="E207" s="90">
        <f t="shared" si="27"/>
        <v>3041082.33</v>
      </c>
      <c r="F207" s="90">
        <f t="shared" si="27"/>
        <v>757416.1</v>
      </c>
      <c r="G207" s="90">
        <f t="shared" si="27"/>
        <v>2954302.6</v>
      </c>
      <c r="H207" s="90">
        <f t="shared" si="27"/>
        <v>15118098.73</v>
      </c>
      <c r="I207" s="90">
        <f t="shared" si="27"/>
        <v>27295311.399999999</v>
      </c>
    </row>
    <row r="208" spans="1:9" ht="29" x14ac:dyDescent="0.35">
      <c r="A208" s="84" t="s">
        <v>18</v>
      </c>
      <c r="B208" s="91">
        <f>B181</f>
        <v>1133973.48</v>
      </c>
      <c r="C208" s="91">
        <f>C181</f>
        <v>3562750.77</v>
      </c>
      <c r="D208" s="91">
        <f t="shared" ref="D208:I208" si="28">D181</f>
        <v>10430.5</v>
      </c>
      <c r="E208" s="91">
        <f t="shared" si="28"/>
        <v>2876238.13</v>
      </c>
      <c r="F208" s="91">
        <f t="shared" si="28"/>
        <v>583785.61</v>
      </c>
      <c r="G208" s="91">
        <f t="shared" si="28"/>
        <v>2475337.6</v>
      </c>
      <c r="H208" s="91">
        <f t="shared" si="28"/>
        <v>15675932.310000001</v>
      </c>
      <c r="I208" s="91">
        <f t="shared" si="28"/>
        <v>26318448.399999999</v>
      </c>
    </row>
    <row r="209" spans="1:9" ht="29.5" thickBot="1" x14ac:dyDescent="0.4">
      <c r="A209" s="83" t="s">
        <v>28</v>
      </c>
      <c r="B209" s="92">
        <f>(B208-B207)/B207</f>
        <v>-0.17749862721020326</v>
      </c>
      <c r="C209" s="89">
        <f t="shared" ref="C209:I209" si="29">(C208-C207)/C207</f>
        <v>-8.108733764726675E-2</v>
      </c>
      <c r="D209" s="92">
        <f t="shared" si="29"/>
        <v>-0.93812922542155974</v>
      </c>
      <c r="E209" s="89">
        <f t="shared" si="29"/>
        <v>-5.4205766931670077E-2</v>
      </c>
      <c r="F209" s="92">
        <f t="shared" si="29"/>
        <v>-0.2292405587892837</v>
      </c>
      <c r="G209" s="89">
        <f t="shared" si="29"/>
        <v>-0.16212455690896388</v>
      </c>
      <c r="H209" s="92">
        <f>(H208-H207)/H207</f>
        <v>3.6898395093362381E-2</v>
      </c>
      <c r="I209" s="94">
        <f t="shared" si="29"/>
        <v>-3.5788673947863441E-2</v>
      </c>
    </row>
  </sheetData>
  <pageMargins left="0.7" right="0.7" top="0.75" bottom="0.75" header="0.3" footer="0.3"/>
  <pageSetup orientation="portrait" verticalDpi="0" r:id="rId1"/>
  <ignoredErrors>
    <ignoredError sqref="I2:I101 B185:H185 I103:I104 I106:I146 I147:I157 B197:I19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
  <sheetViews>
    <sheetView workbookViewId="0">
      <pane ySplit="1" topLeftCell="A176" activePane="bottomLeft" state="frozen"/>
      <selection pane="bottomLeft" activeCell="N206" sqref="N206"/>
    </sheetView>
  </sheetViews>
  <sheetFormatPr defaultColWidth="9" defaultRowHeight="14.5" x14ac:dyDescent="0.35"/>
  <cols>
    <col min="1" max="1" width="15.81640625" customWidth="1"/>
    <col min="2" max="2" width="14.453125" bestFit="1" customWidth="1"/>
    <col min="3" max="3" width="14" bestFit="1" customWidth="1"/>
    <col min="4" max="4" width="12.54296875" bestFit="1" customWidth="1"/>
    <col min="5" max="5" width="13.54296875" bestFit="1" customWidth="1"/>
    <col min="6" max="6" width="16.453125" bestFit="1" customWidth="1"/>
    <col min="7" max="7" width="14" bestFit="1" customWidth="1"/>
    <col min="8" max="8" width="12" bestFit="1" customWidth="1"/>
    <col min="9" max="10" width="14.54296875" bestFit="1" customWidth="1"/>
    <col min="11" max="11" width="19.54296875" bestFit="1" customWidth="1"/>
    <col min="12" max="12" width="29.1796875" bestFit="1" customWidth="1"/>
  </cols>
  <sheetData>
    <row r="1" spans="1:12" ht="22.5" customHeight="1" x14ac:dyDescent="0.35">
      <c r="A1" s="32" t="s">
        <v>0</v>
      </c>
      <c r="B1" s="33" t="s">
        <v>237</v>
      </c>
      <c r="C1" s="34" t="s">
        <v>238</v>
      </c>
      <c r="D1" s="35" t="s">
        <v>239</v>
      </c>
      <c r="E1" s="35" t="s">
        <v>240</v>
      </c>
      <c r="F1" s="35" t="s">
        <v>241</v>
      </c>
      <c r="G1" s="35" t="s">
        <v>242</v>
      </c>
      <c r="H1" s="35" t="s">
        <v>243</v>
      </c>
      <c r="I1" s="35" t="s">
        <v>244</v>
      </c>
      <c r="J1" s="35" t="s">
        <v>245</v>
      </c>
      <c r="K1" s="35" t="s">
        <v>246</v>
      </c>
      <c r="L1" s="35" t="s">
        <v>247</v>
      </c>
    </row>
    <row r="2" spans="1:12" x14ac:dyDescent="0.35">
      <c r="A2" s="7">
        <v>40179</v>
      </c>
      <c r="B2" s="11">
        <v>31907429</v>
      </c>
      <c r="C2" s="9">
        <v>31531</v>
      </c>
      <c r="D2" s="10">
        <v>2573807</v>
      </c>
      <c r="E2" s="10">
        <v>11849110</v>
      </c>
      <c r="F2" s="10">
        <v>8314364</v>
      </c>
      <c r="G2" s="10">
        <v>960011</v>
      </c>
      <c r="H2" s="10">
        <v>1191289</v>
      </c>
      <c r="I2" s="10">
        <v>107734</v>
      </c>
      <c r="J2" s="10">
        <v>2925210</v>
      </c>
      <c r="K2" s="10">
        <v>27298926</v>
      </c>
      <c r="L2" s="10">
        <f>SUM(B2:K2)</f>
        <v>87159411</v>
      </c>
    </row>
    <row r="3" spans="1:12" x14ac:dyDescent="0.35">
      <c r="A3" s="7">
        <v>40210</v>
      </c>
      <c r="B3" s="11">
        <v>32341429</v>
      </c>
      <c r="C3" s="9">
        <v>37543</v>
      </c>
      <c r="D3" s="10">
        <v>2620068</v>
      </c>
      <c r="E3" s="10">
        <v>11977544</v>
      </c>
      <c r="F3" s="10">
        <v>9210153</v>
      </c>
      <c r="G3" s="10">
        <v>962575</v>
      </c>
      <c r="H3" s="10">
        <v>1175451</v>
      </c>
      <c r="I3" s="10">
        <v>106214</v>
      </c>
      <c r="J3" s="10">
        <v>5722592</v>
      </c>
      <c r="K3" s="10">
        <v>29188883</v>
      </c>
      <c r="L3" s="10">
        <f t="shared" ref="L3:L66" si="0">SUM(B3:K3)</f>
        <v>93342452</v>
      </c>
    </row>
    <row r="4" spans="1:12" x14ac:dyDescent="0.35">
      <c r="A4" s="7">
        <v>40238</v>
      </c>
      <c r="B4" s="11">
        <v>34715048</v>
      </c>
      <c r="C4" s="9">
        <v>37692</v>
      </c>
      <c r="D4" s="10">
        <v>3022398</v>
      </c>
      <c r="E4" s="10">
        <v>13821294</v>
      </c>
      <c r="F4" s="10">
        <v>8410652</v>
      </c>
      <c r="G4" s="10">
        <v>1335584</v>
      </c>
      <c r="H4" s="10">
        <v>2179257</v>
      </c>
      <c r="I4" s="10">
        <v>358494</v>
      </c>
      <c r="J4" s="10">
        <v>6609639</v>
      </c>
      <c r="K4" s="10">
        <v>36280333</v>
      </c>
      <c r="L4" s="10">
        <f t="shared" si="0"/>
        <v>106770391</v>
      </c>
    </row>
    <row r="5" spans="1:12" x14ac:dyDescent="0.35">
      <c r="A5" s="7">
        <v>40269</v>
      </c>
      <c r="B5" s="11">
        <v>30264093</v>
      </c>
      <c r="C5" s="9">
        <v>48809</v>
      </c>
      <c r="D5" s="10">
        <v>3126133</v>
      </c>
      <c r="E5" s="10">
        <v>12051328</v>
      </c>
      <c r="F5" s="10">
        <v>7862090</v>
      </c>
      <c r="G5" s="10">
        <v>1139334</v>
      </c>
      <c r="H5" s="10">
        <v>2211726</v>
      </c>
      <c r="I5" s="10">
        <v>464068</v>
      </c>
      <c r="J5" s="10">
        <v>4932918</v>
      </c>
      <c r="K5" s="10">
        <v>37339989</v>
      </c>
      <c r="L5" s="10">
        <f t="shared" si="0"/>
        <v>99440488</v>
      </c>
    </row>
    <row r="6" spans="1:12" x14ac:dyDescent="0.35">
      <c r="A6" s="7">
        <v>40299</v>
      </c>
      <c r="B6" s="11">
        <v>32371956</v>
      </c>
      <c r="C6" s="9">
        <v>32492</v>
      </c>
      <c r="D6" s="10">
        <v>2546129</v>
      </c>
      <c r="E6" s="10">
        <v>12164478</v>
      </c>
      <c r="F6" s="10">
        <v>8932666</v>
      </c>
      <c r="G6" s="10">
        <v>1012761</v>
      </c>
      <c r="H6" s="10">
        <v>1202323</v>
      </c>
      <c r="I6" s="10">
        <v>462854</v>
      </c>
      <c r="J6" s="10">
        <v>5821172</v>
      </c>
      <c r="K6" s="10">
        <v>31211846</v>
      </c>
      <c r="L6" s="10">
        <f t="shared" si="0"/>
        <v>95758677</v>
      </c>
    </row>
    <row r="7" spans="1:12" x14ac:dyDescent="0.35">
      <c r="A7" s="7">
        <v>40330</v>
      </c>
      <c r="B7" s="11">
        <v>32200232</v>
      </c>
      <c r="C7" s="9">
        <v>33383</v>
      </c>
      <c r="D7" s="10">
        <v>2611687</v>
      </c>
      <c r="E7" s="10">
        <v>12490545</v>
      </c>
      <c r="F7" s="10">
        <v>8778539</v>
      </c>
      <c r="G7" s="10">
        <v>1300482</v>
      </c>
      <c r="H7" s="10">
        <v>1901315</v>
      </c>
      <c r="I7" s="10">
        <v>516940</v>
      </c>
      <c r="J7" s="10">
        <v>6023549</v>
      </c>
      <c r="K7" s="10">
        <v>56045966</v>
      </c>
      <c r="L7" s="10">
        <f t="shared" si="0"/>
        <v>121902638</v>
      </c>
    </row>
    <row r="8" spans="1:12" x14ac:dyDescent="0.35">
      <c r="A8" s="7">
        <v>40360</v>
      </c>
      <c r="B8" s="11">
        <v>31509234</v>
      </c>
      <c r="C8" s="9">
        <v>35142</v>
      </c>
      <c r="D8" s="10">
        <v>2942999</v>
      </c>
      <c r="E8" s="10">
        <v>11936517</v>
      </c>
      <c r="F8" s="10">
        <v>9713953</v>
      </c>
      <c r="G8" s="10">
        <v>1034735</v>
      </c>
      <c r="H8" s="10">
        <v>1909403</v>
      </c>
      <c r="I8" s="10">
        <v>405368</v>
      </c>
      <c r="J8" s="10">
        <v>4929518</v>
      </c>
      <c r="K8" s="10">
        <v>29547372</v>
      </c>
      <c r="L8" s="10">
        <f t="shared" si="0"/>
        <v>93964241</v>
      </c>
    </row>
    <row r="9" spans="1:12" x14ac:dyDescent="0.35">
      <c r="A9" s="7">
        <v>40391</v>
      </c>
      <c r="B9" s="11">
        <v>32090215</v>
      </c>
      <c r="C9" s="9">
        <v>39735</v>
      </c>
      <c r="D9" s="10">
        <v>2338489</v>
      </c>
      <c r="E9" s="10">
        <v>12365887</v>
      </c>
      <c r="F9" s="10">
        <v>9606364</v>
      </c>
      <c r="G9" s="10">
        <v>942791</v>
      </c>
      <c r="H9" s="10">
        <v>1755093</v>
      </c>
      <c r="I9" s="10">
        <v>540928</v>
      </c>
      <c r="J9" s="10">
        <v>5364491</v>
      </c>
      <c r="K9" s="10">
        <v>31019233</v>
      </c>
      <c r="L9" s="10">
        <f t="shared" si="0"/>
        <v>96063226</v>
      </c>
    </row>
    <row r="10" spans="1:12" x14ac:dyDescent="0.35">
      <c r="A10" s="7">
        <v>40422</v>
      </c>
      <c r="B10" s="11">
        <v>30743553</v>
      </c>
      <c r="C10" s="9">
        <v>35987</v>
      </c>
      <c r="D10" s="10">
        <v>2667295</v>
      </c>
      <c r="E10" s="10">
        <v>12149001</v>
      </c>
      <c r="F10" s="10">
        <v>8411335</v>
      </c>
      <c r="G10" s="10">
        <v>1263635</v>
      </c>
      <c r="H10" s="10">
        <v>1495361</v>
      </c>
      <c r="I10" s="10">
        <v>416878</v>
      </c>
      <c r="J10" s="10">
        <v>5692167</v>
      </c>
      <c r="K10" s="10">
        <v>34287579</v>
      </c>
      <c r="L10" s="10">
        <f t="shared" si="0"/>
        <v>97162791</v>
      </c>
    </row>
    <row r="11" spans="1:12" x14ac:dyDescent="0.35">
      <c r="A11" s="7">
        <v>40452</v>
      </c>
      <c r="B11" s="11">
        <v>31130318</v>
      </c>
      <c r="C11" s="9">
        <v>36650</v>
      </c>
      <c r="D11" s="10">
        <v>3317348</v>
      </c>
      <c r="E11" s="10">
        <v>11422204</v>
      </c>
      <c r="F11" s="10">
        <v>8910486</v>
      </c>
      <c r="G11" s="10">
        <v>724072</v>
      </c>
      <c r="H11" s="10">
        <v>1353782</v>
      </c>
      <c r="I11" s="10">
        <v>508264</v>
      </c>
      <c r="J11" s="10">
        <v>5041916</v>
      </c>
      <c r="K11" s="10">
        <v>30897862</v>
      </c>
      <c r="L11" s="10">
        <f t="shared" si="0"/>
        <v>93342902</v>
      </c>
    </row>
    <row r="12" spans="1:12" x14ac:dyDescent="0.35">
      <c r="A12" s="7">
        <v>40483</v>
      </c>
      <c r="B12" s="11">
        <v>36701110</v>
      </c>
      <c r="C12" s="9">
        <v>34169</v>
      </c>
      <c r="D12" s="10">
        <v>4816756</v>
      </c>
      <c r="E12" s="10">
        <v>11601817</v>
      </c>
      <c r="F12" s="10">
        <v>11289840</v>
      </c>
      <c r="G12" s="10">
        <v>992008</v>
      </c>
      <c r="H12" s="10">
        <v>840378</v>
      </c>
      <c r="I12" s="10">
        <v>151114</v>
      </c>
      <c r="J12" s="10">
        <v>7738103</v>
      </c>
      <c r="K12" s="10">
        <v>39970339</v>
      </c>
      <c r="L12" s="10">
        <f t="shared" si="0"/>
        <v>114135634</v>
      </c>
    </row>
    <row r="13" spans="1:12" x14ac:dyDescent="0.35">
      <c r="A13" s="7">
        <v>40513</v>
      </c>
      <c r="B13" s="11">
        <v>48545817</v>
      </c>
      <c r="C13" s="9">
        <v>28608</v>
      </c>
      <c r="D13" s="10">
        <v>7471858</v>
      </c>
      <c r="E13" s="10">
        <v>13780765</v>
      </c>
      <c r="F13" s="10">
        <v>19343221</v>
      </c>
      <c r="G13" s="10">
        <v>1413139</v>
      </c>
      <c r="H13" s="10">
        <v>2654262</v>
      </c>
      <c r="I13" s="10">
        <v>183580</v>
      </c>
      <c r="J13" s="10">
        <v>12048753</v>
      </c>
      <c r="K13" s="10">
        <v>50121297</v>
      </c>
      <c r="L13" s="10">
        <f t="shared" si="0"/>
        <v>155591300</v>
      </c>
    </row>
    <row r="14" spans="1:12" x14ac:dyDescent="0.35">
      <c r="A14" s="7">
        <v>40544</v>
      </c>
      <c r="B14" s="11">
        <v>27354123</v>
      </c>
      <c r="C14" s="9">
        <v>33964</v>
      </c>
      <c r="D14" s="10">
        <v>2654215</v>
      </c>
      <c r="E14" s="10">
        <v>11760157</v>
      </c>
      <c r="F14" s="10">
        <v>7719862</v>
      </c>
      <c r="G14" s="10">
        <v>1031197</v>
      </c>
      <c r="H14" s="10">
        <v>1212688</v>
      </c>
      <c r="I14" s="10">
        <v>102938</v>
      </c>
      <c r="J14" s="10">
        <v>4423662</v>
      </c>
      <c r="K14" s="10">
        <v>30290012</v>
      </c>
      <c r="L14" s="10">
        <f t="shared" si="0"/>
        <v>86582818</v>
      </c>
    </row>
    <row r="15" spans="1:12" x14ac:dyDescent="0.35">
      <c r="A15" s="7">
        <v>40575</v>
      </c>
      <c r="B15" s="11">
        <v>28749179</v>
      </c>
      <c r="C15" s="9">
        <v>51432</v>
      </c>
      <c r="D15" s="10">
        <v>2520457</v>
      </c>
      <c r="E15" s="10">
        <v>11872703</v>
      </c>
      <c r="F15" s="10">
        <v>8594636</v>
      </c>
      <c r="G15" s="10">
        <v>1060314</v>
      </c>
      <c r="H15" s="10">
        <v>1498438</v>
      </c>
      <c r="I15" s="10">
        <v>117495</v>
      </c>
      <c r="J15" s="10">
        <v>5871636</v>
      </c>
      <c r="K15" s="10">
        <v>30524275</v>
      </c>
      <c r="L15" s="10">
        <f t="shared" si="0"/>
        <v>90860565</v>
      </c>
    </row>
    <row r="16" spans="1:12" x14ac:dyDescent="0.35">
      <c r="A16" s="7">
        <v>40603</v>
      </c>
      <c r="B16" s="11">
        <v>30778643</v>
      </c>
      <c r="C16" s="9">
        <v>44427</v>
      </c>
      <c r="D16" s="10">
        <v>3089046</v>
      </c>
      <c r="E16" s="10">
        <v>12840843</v>
      </c>
      <c r="F16" s="10">
        <v>9505538</v>
      </c>
      <c r="G16" s="10">
        <v>1672846</v>
      </c>
      <c r="H16" s="10">
        <v>2215081</v>
      </c>
      <c r="I16" s="10">
        <v>479473</v>
      </c>
      <c r="J16" s="10">
        <v>6482318</v>
      </c>
      <c r="K16" s="10">
        <v>40274457</v>
      </c>
      <c r="L16" s="10">
        <f t="shared" si="0"/>
        <v>107382672</v>
      </c>
    </row>
    <row r="17" spans="1:12" x14ac:dyDescent="0.35">
      <c r="A17" s="7">
        <v>40634</v>
      </c>
      <c r="B17" s="11">
        <v>29820300</v>
      </c>
      <c r="C17" s="9">
        <v>33821</v>
      </c>
      <c r="D17" s="10">
        <v>3041583</v>
      </c>
      <c r="E17" s="10">
        <v>11209757</v>
      </c>
      <c r="F17" s="10">
        <v>9271624</v>
      </c>
      <c r="G17" s="10">
        <v>1287215</v>
      </c>
      <c r="H17" s="10">
        <v>1755677</v>
      </c>
      <c r="I17" s="10">
        <v>368470</v>
      </c>
      <c r="J17" s="10">
        <v>6022494</v>
      </c>
      <c r="K17" s="10">
        <v>32248523</v>
      </c>
      <c r="L17" s="10">
        <f t="shared" si="0"/>
        <v>95059464</v>
      </c>
    </row>
    <row r="18" spans="1:12" x14ac:dyDescent="0.35">
      <c r="A18" s="7">
        <v>40664</v>
      </c>
      <c r="B18" s="11">
        <v>29522282</v>
      </c>
      <c r="C18" s="9">
        <v>36031</v>
      </c>
      <c r="D18" s="10">
        <v>2344534</v>
      </c>
      <c r="E18" s="10">
        <v>11447551</v>
      </c>
      <c r="F18" s="10">
        <v>9354763</v>
      </c>
      <c r="G18" s="10">
        <v>1079773</v>
      </c>
      <c r="H18" s="10">
        <v>1554779</v>
      </c>
      <c r="I18" s="10">
        <v>293530</v>
      </c>
      <c r="J18" s="10">
        <v>6531299</v>
      </c>
      <c r="K18" s="10">
        <v>33302153</v>
      </c>
      <c r="L18" s="10">
        <f t="shared" si="0"/>
        <v>95466695</v>
      </c>
    </row>
    <row r="19" spans="1:12" x14ac:dyDescent="0.35">
      <c r="A19" s="7">
        <v>40695</v>
      </c>
      <c r="B19" s="11">
        <v>29608141</v>
      </c>
      <c r="C19" s="9">
        <v>31918</v>
      </c>
      <c r="D19" s="10">
        <v>2146580</v>
      </c>
      <c r="E19" s="10">
        <v>12188844</v>
      </c>
      <c r="F19" s="10">
        <v>9684611</v>
      </c>
      <c r="G19" s="10">
        <v>1379762</v>
      </c>
      <c r="H19" s="10">
        <v>2216060</v>
      </c>
      <c r="I19" s="10">
        <v>299070</v>
      </c>
      <c r="J19" s="10">
        <v>6530853</v>
      </c>
      <c r="K19" s="10">
        <v>38508036</v>
      </c>
      <c r="L19" s="10">
        <f t="shared" si="0"/>
        <v>102593875</v>
      </c>
    </row>
    <row r="20" spans="1:12" x14ac:dyDescent="0.35">
      <c r="A20" s="7">
        <v>40725</v>
      </c>
      <c r="B20" s="11">
        <v>31509234</v>
      </c>
      <c r="C20" s="9">
        <v>35142</v>
      </c>
      <c r="D20" s="10">
        <v>2942999</v>
      </c>
      <c r="E20" s="10">
        <v>11936517</v>
      </c>
      <c r="F20" s="10">
        <v>9713953</v>
      </c>
      <c r="G20" s="10">
        <v>1034735</v>
      </c>
      <c r="H20" s="10">
        <v>1909403</v>
      </c>
      <c r="I20" s="10">
        <v>405368</v>
      </c>
      <c r="J20" s="10">
        <v>4929518</v>
      </c>
      <c r="K20" s="10">
        <v>29471155</v>
      </c>
      <c r="L20" s="10">
        <f t="shared" si="0"/>
        <v>93888024</v>
      </c>
    </row>
    <row r="21" spans="1:12" x14ac:dyDescent="0.35">
      <c r="A21" s="7">
        <v>40756</v>
      </c>
      <c r="B21" s="11">
        <v>29159814</v>
      </c>
      <c r="C21" s="9">
        <v>45713</v>
      </c>
      <c r="D21" s="10">
        <v>2410446</v>
      </c>
      <c r="E21" s="10">
        <v>11298968</v>
      </c>
      <c r="F21" s="10">
        <v>12324255</v>
      </c>
      <c r="G21" s="10">
        <v>1050446</v>
      </c>
      <c r="H21" s="10">
        <v>1893838</v>
      </c>
      <c r="I21" s="10">
        <v>501023</v>
      </c>
      <c r="J21" s="10">
        <v>5857663</v>
      </c>
      <c r="K21" s="10">
        <v>33939262</v>
      </c>
      <c r="L21" s="10">
        <f t="shared" si="0"/>
        <v>98481428</v>
      </c>
    </row>
    <row r="22" spans="1:12" x14ac:dyDescent="0.35">
      <c r="A22" s="7">
        <v>40787</v>
      </c>
      <c r="B22" s="11">
        <v>28184247</v>
      </c>
      <c r="C22" s="9">
        <v>39935</v>
      </c>
      <c r="D22" s="10">
        <v>2939897</v>
      </c>
      <c r="E22" s="10">
        <v>12090770</v>
      </c>
      <c r="F22" s="10">
        <v>9915900</v>
      </c>
      <c r="G22" s="10">
        <v>1431661</v>
      </c>
      <c r="H22" s="10">
        <v>1776903</v>
      </c>
      <c r="I22" s="10">
        <v>522939</v>
      </c>
      <c r="J22" s="10">
        <v>6183446</v>
      </c>
      <c r="K22" s="10">
        <v>39135512</v>
      </c>
      <c r="L22" s="10">
        <f t="shared" si="0"/>
        <v>102221210</v>
      </c>
    </row>
    <row r="23" spans="1:12" x14ac:dyDescent="0.35">
      <c r="A23" s="7">
        <v>40817</v>
      </c>
      <c r="B23" s="11">
        <v>28881087</v>
      </c>
      <c r="C23" s="9">
        <v>33154</v>
      </c>
      <c r="D23" s="10">
        <v>3371662</v>
      </c>
      <c r="E23" s="10">
        <v>11383776</v>
      </c>
      <c r="F23" s="10">
        <v>10286687</v>
      </c>
      <c r="G23" s="10">
        <v>1122625</v>
      </c>
      <c r="H23" s="10">
        <v>1426987</v>
      </c>
      <c r="I23" s="10">
        <v>589959</v>
      </c>
      <c r="J23" s="10">
        <v>5549141</v>
      </c>
      <c r="K23" s="10">
        <v>35422067</v>
      </c>
      <c r="L23" s="10">
        <f t="shared" si="0"/>
        <v>98067145</v>
      </c>
    </row>
    <row r="24" spans="1:12" x14ac:dyDescent="0.35">
      <c r="A24" s="7">
        <v>40848</v>
      </c>
      <c r="B24" s="11">
        <v>33605934</v>
      </c>
      <c r="C24" s="9">
        <v>33391</v>
      </c>
      <c r="D24" s="10">
        <v>4309468</v>
      </c>
      <c r="E24" s="10">
        <v>13294729</v>
      </c>
      <c r="F24" s="10">
        <v>12948372</v>
      </c>
      <c r="G24" s="10">
        <v>1054312</v>
      </c>
      <c r="H24" s="10">
        <v>1349828</v>
      </c>
      <c r="I24" s="10">
        <v>91734</v>
      </c>
      <c r="J24" s="10">
        <v>7881450</v>
      </c>
      <c r="K24" s="10">
        <v>39548035</v>
      </c>
      <c r="L24" s="10">
        <f t="shared" si="0"/>
        <v>114117253</v>
      </c>
    </row>
    <row r="25" spans="1:12" x14ac:dyDescent="0.35">
      <c r="A25" s="7">
        <v>40878</v>
      </c>
      <c r="B25" s="11">
        <v>41617378</v>
      </c>
      <c r="C25" s="9">
        <v>28280</v>
      </c>
      <c r="D25" s="10">
        <v>7261048</v>
      </c>
      <c r="E25" s="10">
        <v>15544122</v>
      </c>
      <c r="F25" s="10">
        <v>23224714</v>
      </c>
      <c r="G25" s="10">
        <v>1534045</v>
      </c>
      <c r="H25" s="10">
        <v>2563723</v>
      </c>
      <c r="I25" s="10">
        <v>162377</v>
      </c>
      <c r="J25" s="10">
        <v>14003104</v>
      </c>
      <c r="K25" s="10">
        <v>54363371</v>
      </c>
      <c r="L25" s="10">
        <f t="shared" si="0"/>
        <v>160302162</v>
      </c>
    </row>
    <row r="26" spans="1:12" x14ac:dyDescent="0.35">
      <c r="A26" s="7">
        <v>40909</v>
      </c>
      <c r="B26" s="11">
        <v>27953365</v>
      </c>
      <c r="C26" s="9">
        <v>34234</v>
      </c>
      <c r="D26" s="10">
        <v>2640528</v>
      </c>
      <c r="E26" s="10">
        <v>11536344</v>
      </c>
      <c r="F26" s="10">
        <v>9095464</v>
      </c>
      <c r="G26" s="10">
        <v>1468551</v>
      </c>
      <c r="H26" s="10">
        <v>1416517</v>
      </c>
      <c r="I26" s="10">
        <v>228209</v>
      </c>
      <c r="J26" s="10">
        <v>4797878</v>
      </c>
      <c r="K26" s="10">
        <v>31852068</v>
      </c>
      <c r="L26" s="10">
        <f t="shared" si="0"/>
        <v>91023158</v>
      </c>
    </row>
    <row r="27" spans="1:12" x14ac:dyDescent="0.35">
      <c r="A27" s="7">
        <v>40940</v>
      </c>
      <c r="B27" s="11">
        <v>29730406</v>
      </c>
      <c r="C27" s="9">
        <v>35421</v>
      </c>
      <c r="D27" s="10">
        <v>2704827</v>
      </c>
      <c r="E27" s="10">
        <v>12342993</v>
      </c>
      <c r="F27" s="10">
        <v>11130257</v>
      </c>
      <c r="G27" s="10">
        <v>1200423</v>
      </c>
      <c r="H27" s="10">
        <v>1647297</v>
      </c>
      <c r="I27" s="10">
        <v>244007</v>
      </c>
      <c r="J27" s="10">
        <v>6175976</v>
      </c>
      <c r="K27" s="10">
        <v>35176174</v>
      </c>
      <c r="L27" s="10">
        <f t="shared" si="0"/>
        <v>100387781</v>
      </c>
    </row>
    <row r="28" spans="1:12" x14ac:dyDescent="0.35">
      <c r="A28" s="7">
        <v>40969</v>
      </c>
      <c r="B28" s="11">
        <v>32228129</v>
      </c>
      <c r="C28" s="9">
        <v>39874</v>
      </c>
      <c r="D28" s="10">
        <v>3001411</v>
      </c>
      <c r="E28" s="10">
        <v>13455285</v>
      </c>
      <c r="F28" s="10">
        <v>11769122</v>
      </c>
      <c r="G28" s="10">
        <v>1656308</v>
      </c>
      <c r="H28" s="10">
        <v>2282712</v>
      </c>
      <c r="I28" s="10">
        <v>413956</v>
      </c>
      <c r="J28" s="10">
        <v>7075544</v>
      </c>
      <c r="K28" s="10">
        <v>43590814</v>
      </c>
      <c r="L28" s="10">
        <f t="shared" si="0"/>
        <v>115513155</v>
      </c>
    </row>
    <row r="29" spans="1:12" x14ac:dyDescent="0.35">
      <c r="A29" s="7">
        <v>41000</v>
      </c>
      <c r="B29" s="11">
        <v>28562059</v>
      </c>
      <c r="C29" s="9">
        <v>13741</v>
      </c>
      <c r="D29" s="10">
        <v>3050111</v>
      </c>
      <c r="E29" s="10">
        <v>12078195</v>
      </c>
      <c r="F29" s="10">
        <v>11163212</v>
      </c>
      <c r="G29" s="10">
        <v>1462081</v>
      </c>
      <c r="H29" s="10">
        <v>2280169</v>
      </c>
      <c r="I29" s="10">
        <v>436514</v>
      </c>
      <c r="J29" s="10">
        <v>5884885</v>
      </c>
      <c r="K29" s="10">
        <v>38015659</v>
      </c>
      <c r="L29" s="10">
        <f t="shared" si="0"/>
        <v>102946626</v>
      </c>
    </row>
    <row r="30" spans="1:12" x14ac:dyDescent="0.35">
      <c r="A30" s="7">
        <v>41030</v>
      </c>
      <c r="B30" s="11">
        <v>32189356</v>
      </c>
      <c r="C30" s="9">
        <v>53166</v>
      </c>
      <c r="D30" s="10">
        <v>2584454</v>
      </c>
      <c r="E30" s="10">
        <v>12157363</v>
      </c>
      <c r="F30" s="10">
        <v>12042389</v>
      </c>
      <c r="G30" s="10">
        <v>1282618</v>
      </c>
      <c r="H30" s="10">
        <v>2012470</v>
      </c>
      <c r="I30" s="10">
        <v>435999</v>
      </c>
      <c r="J30" s="10">
        <v>6612365</v>
      </c>
      <c r="K30" s="10">
        <v>39913022</v>
      </c>
      <c r="L30" s="10">
        <f t="shared" si="0"/>
        <v>109283202</v>
      </c>
    </row>
    <row r="31" spans="1:12" x14ac:dyDescent="0.35">
      <c r="A31" s="7">
        <v>41061</v>
      </c>
      <c r="B31" s="11">
        <v>30044812</v>
      </c>
      <c r="C31" s="9">
        <v>35418</v>
      </c>
      <c r="D31" s="10">
        <v>2634578</v>
      </c>
      <c r="E31" s="10">
        <v>13364578</v>
      </c>
      <c r="F31" s="10">
        <v>12038406</v>
      </c>
      <c r="G31" s="10">
        <v>1629470</v>
      </c>
      <c r="H31" s="10">
        <v>2077535</v>
      </c>
      <c r="I31" s="10">
        <v>392031</v>
      </c>
      <c r="J31" s="10">
        <v>6852485</v>
      </c>
      <c r="K31" s="10">
        <v>43888183</v>
      </c>
      <c r="L31" s="10">
        <f t="shared" si="0"/>
        <v>112957496</v>
      </c>
    </row>
    <row r="32" spans="1:12" x14ac:dyDescent="0.35">
      <c r="A32" s="7">
        <v>41091</v>
      </c>
      <c r="B32" s="11">
        <v>28264789</v>
      </c>
      <c r="C32" s="9">
        <v>36114</v>
      </c>
      <c r="D32" s="10">
        <v>2793907</v>
      </c>
      <c r="E32" s="10">
        <v>11286814</v>
      </c>
      <c r="F32" s="10">
        <v>12280437</v>
      </c>
      <c r="G32" s="10">
        <v>1378327</v>
      </c>
      <c r="H32" s="10">
        <v>2111271</v>
      </c>
      <c r="I32" s="10">
        <v>430683</v>
      </c>
      <c r="J32" s="10">
        <v>5498309</v>
      </c>
      <c r="K32" s="10">
        <v>38334515</v>
      </c>
      <c r="L32" s="10">
        <f t="shared" si="0"/>
        <v>102415166</v>
      </c>
    </row>
    <row r="33" spans="1:12" x14ac:dyDescent="0.35">
      <c r="A33" s="7">
        <v>41122</v>
      </c>
      <c r="B33" s="11">
        <v>29553103</v>
      </c>
      <c r="C33" s="9">
        <v>25486</v>
      </c>
      <c r="D33" s="10">
        <v>2538645</v>
      </c>
      <c r="E33" s="10">
        <v>12265616</v>
      </c>
      <c r="F33" s="10">
        <v>11900916</v>
      </c>
      <c r="G33" s="10">
        <v>1229877</v>
      </c>
      <c r="H33" s="10">
        <v>2294306</v>
      </c>
      <c r="I33" s="10">
        <v>402947</v>
      </c>
      <c r="J33" s="10">
        <v>6091968</v>
      </c>
      <c r="K33" s="10">
        <v>37131404</v>
      </c>
      <c r="L33" s="10">
        <f t="shared" si="0"/>
        <v>103434268</v>
      </c>
    </row>
    <row r="34" spans="1:12" x14ac:dyDescent="0.35">
      <c r="A34" s="7">
        <v>41153</v>
      </c>
      <c r="B34" s="11">
        <v>28561817</v>
      </c>
      <c r="C34" s="9">
        <v>44417</v>
      </c>
      <c r="D34" s="10">
        <v>2978603</v>
      </c>
      <c r="E34" s="10">
        <v>13450386</v>
      </c>
      <c r="F34" s="10">
        <v>10885203</v>
      </c>
      <c r="G34" s="10">
        <v>1578469</v>
      </c>
      <c r="H34" s="10">
        <v>1839480</v>
      </c>
      <c r="I34" s="10">
        <v>476628</v>
      </c>
      <c r="J34" s="10">
        <v>6265445</v>
      </c>
      <c r="K34" s="10">
        <v>42253325</v>
      </c>
      <c r="L34" s="10">
        <f t="shared" si="0"/>
        <v>108333773</v>
      </c>
    </row>
    <row r="35" spans="1:12" x14ac:dyDescent="0.35">
      <c r="A35" s="7">
        <v>41183</v>
      </c>
      <c r="B35" s="11">
        <v>28761460</v>
      </c>
      <c r="C35" s="9">
        <v>41375</v>
      </c>
      <c r="D35" s="10">
        <v>3168124</v>
      </c>
      <c r="E35" s="10">
        <v>13128441</v>
      </c>
      <c r="F35" s="10">
        <v>11455027</v>
      </c>
      <c r="G35" s="10">
        <v>1314418</v>
      </c>
      <c r="H35" s="10">
        <v>1644520</v>
      </c>
      <c r="I35" s="10">
        <v>611915</v>
      </c>
      <c r="J35" s="10">
        <v>5900650</v>
      </c>
      <c r="K35" s="10">
        <v>40366888</v>
      </c>
      <c r="L35" s="10">
        <f t="shared" si="0"/>
        <v>106392818</v>
      </c>
    </row>
    <row r="36" spans="1:12" x14ac:dyDescent="0.35">
      <c r="A36" s="7">
        <v>41214</v>
      </c>
      <c r="B36" s="11">
        <v>33238781</v>
      </c>
      <c r="C36" s="9">
        <v>41636</v>
      </c>
      <c r="D36" s="10">
        <v>4412915</v>
      </c>
      <c r="E36" s="10">
        <v>12810749</v>
      </c>
      <c r="F36" s="10">
        <v>15271559</v>
      </c>
      <c r="G36" s="10">
        <v>1230148</v>
      </c>
      <c r="H36" s="10">
        <v>1418103</v>
      </c>
      <c r="I36" s="10">
        <v>202244</v>
      </c>
      <c r="J36" s="10">
        <v>8005114</v>
      </c>
      <c r="K36" s="10">
        <v>41487714</v>
      </c>
      <c r="L36" s="10">
        <f t="shared" si="0"/>
        <v>118118963</v>
      </c>
    </row>
    <row r="37" spans="1:12" x14ac:dyDescent="0.35">
      <c r="A37" s="7">
        <v>41244</v>
      </c>
      <c r="B37" s="11">
        <v>40879559</v>
      </c>
      <c r="C37" s="9">
        <v>42581</v>
      </c>
      <c r="D37" s="10">
        <v>4455393</v>
      </c>
      <c r="E37" s="10">
        <v>15249296</v>
      </c>
      <c r="F37" s="10">
        <v>26421011</v>
      </c>
      <c r="G37" s="10">
        <v>1651779</v>
      </c>
      <c r="H37" s="10">
        <v>2289208</v>
      </c>
      <c r="I37" s="10">
        <v>223575</v>
      </c>
      <c r="J37" s="10">
        <v>12804254</v>
      </c>
      <c r="K37" s="10">
        <v>57693660</v>
      </c>
      <c r="L37" s="10">
        <f t="shared" si="0"/>
        <v>161710316</v>
      </c>
    </row>
    <row r="38" spans="1:12" x14ac:dyDescent="0.35">
      <c r="A38" s="7">
        <v>41275</v>
      </c>
      <c r="B38" s="11">
        <v>28231055</v>
      </c>
      <c r="C38" s="9">
        <v>43248</v>
      </c>
      <c r="D38" s="10">
        <v>3333754</v>
      </c>
      <c r="E38" s="10">
        <v>12446357</v>
      </c>
      <c r="F38" s="10">
        <v>10995536</v>
      </c>
      <c r="G38" s="10">
        <v>1566820</v>
      </c>
      <c r="H38" s="10">
        <v>1742658</v>
      </c>
      <c r="I38" s="10">
        <v>233187</v>
      </c>
      <c r="J38" s="10">
        <v>5920039</v>
      </c>
      <c r="K38" s="10">
        <v>35545575</v>
      </c>
      <c r="L38" s="10">
        <f t="shared" si="0"/>
        <v>100058229</v>
      </c>
    </row>
    <row r="39" spans="1:12" x14ac:dyDescent="0.35">
      <c r="A39" s="7">
        <v>41306</v>
      </c>
      <c r="B39" s="11">
        <v>28001995</v>
      </c>
      <c r="C39" s="9">
        <v>58620</v>
      </c>
      <c r="D39" s="10">
        <v>6961707</v>
      </c>
      <c r="E39" s="10">
        <v>12262194</v>
      </c>
      <c r="F39" s="10">
        <v>11208400</v>
      </c>
      <c r="G39" s="10">
        <v>1250213</v>
      </c>
      <c r="H39" s="10">
        <v>1836580</v>
      </c>
      <c r="I39" s="10">
        <v>258490</v>
      </c>
      <c r="J39" s="10">
        <v>6565181</v>
      </c>
      <c r="K39" s="10">
        <v>36382530</v>
      </c>
      <c r="L39" s="10">
        <f t="shared" si="0"/>
        <v>104785910</v>
      </c>
    </row>
    <row r="40" spans="1:12" x14ac:dyDescent="0.35">
      <c r="A40" s="7">
        <v>41334</v>
      </c>
      <c r="B40" s="11">
        <v>32757093</v>
      </c>
      <c r="C40" s="9">
        <v>84495</v>
      </c>
      <c r="D40" s="10">
        <v>2728320</v>
      </c>
      <c r="E40" s="10">
        <v>14218893</v>
      </c>
      <c r="F40" s="10">
        <v>13247168</v>
      </c>
      <c r="G40" s="10">
        <v>1871834</v>
      </c>
      <c r="H40" s="10">
        <v>2272931</v>
      </c>
      <c r="I40" s="10">
        <v>657612</v>
      </c>
      <c r="J40" s="10">
        <v>7818515</v>
      </c>
      <c r="K40" s="10">
        <v>44002275</v>
      </c>
      <c r="L40" s="10">
        <f t="shared" si="0"/>
        <v>119659136</v>
      </c>
    </row>
    <row r="41" spans="1:12" x14ac:dyDescent="0.35">
      <c r="A41" s="7">
        <v>41365</v>
      </c>
      <c r="B41" s="11">
        <v>27225717</v>
      </c>
      <c r="C41" s="9">
        <v>66151</v>
      </c>
      <c r="D41" s="10">
        <v>2561643</v>
      </c>
      <c r="E41" s="10">
        <v>11379350</v>
      </c>
      <c r="F41" s="10">
        <v>12008221</v>
      </c>
      <c r="G41" s="10">
        <v>1475396</v>
      </c>
      <c r="H41" s="10">
        <v>2185667</v>
      </c>
      <c r="I41" s="10">
        <v>422607</v>
      </c>
      <c r="J41" s="10">
        <v>4722724</v>
      </c>
      <c r="K41" s="10">
        <v>37333089</v>
      </c>
      <c r="L41" s="10">
        <f t="shared" si="0"/>
        <v>99380565</v>
      </c>
    </row>
    <row r="42" spans="1:12" x14ac:dyDescent="0.35">
      <c r="A42" s="7">
        <v>41395</v>
      </c>
      <c r="B42" s="11">
        <v>29614872</v>
      </c>
      <c r="C42" s="9">
        <v>55291</v>
      </c>
      <c r="D42" s="10">
        <v>2597518</v>
      </c>
      <c r="E42" s="10">
        <v>15670545</v>
      </c>
      <c r="F42" s="10">
        <v>12844719</v>
      </c>
      <c r="G42" s="10">
        <v>1346744</v>
      </c>
      <c r="H42" s="10">
        <v>2025172</v>
      </c>
      <c r="I42" s="10">
        <v>559007</v>
      </c>
      <c r="J42" s="10">
        <v>8240304</v>
      </c>
      <c r="K42" s="10">
        <v>39370409</v>
      </c>
      <c r="L42" s="10">
        <f t="shared" si="0"/>
        <v>112324581</v>
      </c>
    </row>
    <row r="43" spans="1:12" x14ac:dyDescent="0.35">
      <c r="A43" s="7">
        <v>41426</v>
      </c>
      <c r="B43" s="11">
        <v>30331591</v>
      </c>
      <c r="C43" s="9">
        <v>55798</v>
      </c>
      <c r="D43" s="10">
        <v>2325764</v>
      </c>
      <c r="E43" s="10">
        <v>13177261</v>
      </c>
      <c r="F43" s="10">
        <v>13508964</v>
      </c>
      <c r="G43" s="10">
        <v>1629937</v>
      </c>
      <c r="H43" s="10">
        <v>2316669</v>
      </c>
      <c r="I43" s="10">
        <v>543392</v>
      </c>
      <c r="J43" s="10">
        <v>7010635</v>
      </c>
      <c r="K43" s="10">
        <v>42143651</v>
      </c>
      <c r="L43" s="10">
        <f t="shared" si="0"/>
        <v>113043662</v>
      </c>
    </row>
    <row r="44" spans="1:12" x14ac:dyDescent="0.35">
      <c r="A44" s="7">
        <v>41456</v>
      </c>
      <c r="B44" s="11">
        <v>28084078</v>
      </c>
      <c r="C44" s="9">
        <v>58403</v>
      </c>
      <c r="D44" s="10">
        <v>2560653</v>
      </c>
      <c r="E44" s="10">
        <v>11902025</v>
      </c>
      <c r="F44" s="10">
        <v>12686440</v>
      </c>
      <c r="G44" s="10">
        <v>1351395</v>
      </c>
      <c r="H44" s="10">
        <v>2364707</v>
      </c>
      <c r="I44" s="10">
        <v>572255</v>
      </c>
      <c r="J44" s="10">
        <v>5480931</v>
      </c>
      <c r="K44" s="10">
        <v>37761158</v>
      </c>
      <c r="L44" s="10">
        <f t="shared" si="0"/>
        <v>102822045</v>
      </c>
    </row>
    <row r="45" spans="1:12" x14ac:dyDescent="0.35">
      <c r="A45" s="7">
        <v>41487</v>
      </c>
      <c r="B45" s="11">
        <v>29286741</v>
      </c>
      <c r="C45" s="9">
        <v>53552</v>
      </c>
      <c r="D45" s="10">
        <v>2521335</v>
      </c>
      <c r="E45" s="10">
        <v>12688124</v>
      </c>
      <c r="F45" s="10">
        <v>13614659</v>
      </c>
      <c r="G45" s="10">
        <v>1244134</v>
      </c>
      <c r="H45" s="10">
        <v>2343808</v>
      </c>
      <c r="I45" s="10">
        <v>371075</v>
      </c>
      <c r="J45" s="10">
        <v>5770761</v>
      </c>
      <c r="K45" s="10">
        <v>37966010</v>
      </c>
      <c r="L45" s="10">
        <f t="shared" si="0"/>
        <v>105860199</v>
      </c>
    </row>
    <row r="46" spans="1:12" x14ac:dyDescent="0.35">
      <c r="A46" s="7">
        <v>41518</v>
      </c>
      <c r="B46" s="11">
        <v>28846846</v>
      </c>
      <c r="C46" s="9">
        <v>45353</v>
      </c>
      <c r="D46" s="10">
        <v>2526839</v>
      </c>
      <c r="E46" s="10">
        <v>13362613</v>
      </c>
      <c r="F46" s="10">
        <v>11546418</v>
      </c>
      <c r="G46" s="10">
        <v>1635343</v>
      </c>
      <c r="H46" s="10">
        <v>1791810</v>
      </c>
      <c r="I46" s="10">
        <v>368573</v>
      </c>
      <c r="J46" s="10">
        <v>6590207</v>
      </c>
      <c r="K46" s="10">
        <v>40785712</v>
      </c>
      <c r="L46" s="10">
        <f t="shared" si="0"/>
        <v>107499714</v>
      </c>
    </row>
    <row r="47" spans="1:12" x14ac:dyDescent="0.35">
      <c r="A47" s="7">
        <v>41548</v>
      </c>
      <c r="B47" s="11">
        <v>29142164</v>
      </c>
      <c r="C47" s="9">
        <v>55947</v>
      </c>
      <c r="D47" s="10">
        <v>2679139</v>
      </c>
      <c r="E47" s="10">
        <v>12769793</v>
      </c>
      <c r="F47" s="10">
        <v>11788288</v>
      </c>
      <c r="G47" s="10">
        <v>1209886</v>
      </c>
      <c r="H47" s="10">
        <v>1999264</v>
      </c>
      <c r="I47" s="10">
        <v>455078</v>
      </c>
      <c r="J47" s="10">
        <v>5943998</v>
      </c>
      <c r="K47" s="10">
        <v>39589839</v>
      </c>
      <c r="L47" s="10">
        <f t="shared" si="0"/>
        <v>105633396</v>
      </c>
    </row>
    <row r="48" spans="1:12" x14ac:dyDescent="0.35">
      <c r="A48" s="7">
        <v>41579</v>
      </c>
      <c r="B48" s="11">
        <v>33725848</v>
      </c>
      <c r="C48" s="9">
        <v>38997</v>
      </c>
      <c r="D48" s="10">
        <v>4479531</v>
      </c>
      <c r="E48" s="10">
        <v>13831704</v>
      </c>
      <c r="F48" s="10">
        <v>15674136</v>
      </c>
      <c r="G48" s="10">
        <v>1691187</v>
      </c>
      <c r="H48" s="10">
        <v>1428334</v>
      </c>
      <c r="I48" s="10">
        <v>251746</v>
      </c>
      <c r="J48" s="10">
        <v>8604531</v>
      </c>
      <c r="K48" s="10">
        <v>41687352</v>
      </c>
      <c r="L48" s="10">
        <f t="shared" si="0"/>
        <v>121413366</v>
      </c>
    </row>
    <row r="49" spans="1:12" x14ac:dyDescent="0.35">
      <c r="A49" s="7">
        <v>41609</v>
      </c>
      <c r="B49" s="11">
        <v>40452523</v>
      </c>
      <c r="C49" s="9">
        <v>86468</v>
      </c>
      <c r="D49" s="10">
        <v>6530163</v>
      </c>
      <c r="E49" s="10">
        <v>23516099</v>
      </c>
      <c r="F49" s="10">
        <v>25419810</v>
      </c>
      <c r="G49" s="10">
        <v>1621083</v>
      </c>
      <c r="H49" s="10">
        <v>1886421</v>
      </c>
      <c r="I49" s="10">
        <v>355367</v>
      </c>
      <c r="J49" s="10">
        <v>12762555</v>
      </c>
      <c r="K49" s="10">
        <v>55904099</v>
      </c>
      <c r="L49" s="10">
        <f t="shared" si="0"/>
        <v>168534588</v>
      </c>
    </row>
    <row r="50" spans="1:12" x14ac:dyDescent="0.35">
      <c r="A50" s="7">
        <v>41640</v>
      </c>
      <c r="B50" s="11">
        <v>26485279</v>
      </c>
      <c r="C50" s="9">
        <v>56852</v>
      </c>
      <c r="D50" s="10">
        <v>2516498</v>
      </c>
      <c r="E50" s="10">
        <v>13006935</v>
      </c>
      <c r="F50" s="10">
        <v>11584735</v>
      </c>
      <c r="G50" s="10">
        <v>1098085</v>
      </c>
      <c r="H50" s="10">
        <v>1340253</v>
      </c>
      <c r="I50" s="10">
        <v>270970</v>
      </c>
      <c r="J50" s="10">
        <v>4664027</v>
      </c>
      <c r="K50" s="10">
        <v>39664425</v>
      </c>
      <c r="L50" s="10">
        <f t="shared" si="0"/>
        <v>100688059</v>
      </c>
    </row>
    <row r="51" spans="1:12" x14ac:dyDescent="0.35">
      <c r="A51" s="7">
        <v>41671</v>
      </c>
      <c r="B51" s="11">
        <v>28118405</v>
      </c>
      <c r="C51" s="9">
        <v>49489</v>
      </c>
      <c r="D51" s="10">
        <v>2691941</v>
      </c>
      <c r="E51" s="10">
        <v>13100678</v>
      </c>
      <c r="F51" s="10">
        <v>11332812</v>
      </c>
      <c r="G51" s="10">
        <v>1102859</v>
      </c>
      <c r="H51" s="10">
        <v>1750988</v>
      </c>
      <c r="I51" s="10">
        <v>323339</v>
      </c>
      <c r="J51" s="10">
        <v>6411281</v>
      </c>
      <c r="K51" s="10">
        <v>38119447</v>
      </c>
      <c r="L51" s="10">
        <f t="shared" si="0"/>
        <v>103001239</v>
      </c>
    </row>
    <row r="52" spans="1:12" x14ac:dyDescent="0.35">
      <c r="A52" s="7">
        <v>41699</v>
      </c>
      <c r="B52" s="11">
        <v>31294841</v>
      </c>
      <c r="C52" s="9">
        <v>66798</v>
      </c>
      <c r="D52" s="10">
        <v>2587789</v>
      </c>
      <c r="E52" s="10">
        <v>13837281</v>
      </c>
      <c r="F52" s="10">
        <v>12325195</v>
      </c>
      <c r="G52" s="10">
        <v>1549205</v>
      </c>
      <c r="H52" s="10">
        <v>2345509</v>
      </c>
      <c r="I52" s="10">
        <v>411088</v>
      </c>
      <c r="J52" s="10">
        <v>7047438</v>
      </c>
      <c r="K52" s="10">
        <v>46540912</v>
      </c>
      <c r="L52" s="10">
        <f t="shared" si="0"/>
        <v>118006056</v>
      </c>
    </row>
    <row r="53" spans="1:12" x14ac:dyDescent="0.35">
      <c r="A53" s="7">
        <v>41730</v>
      </c>
      <c r="B53" s="11">
        <v>29401873</v>
      </c>
      <c r="C53" s="9">
        <v>78620</v>
      </c>
      <c r="D53" s="10">
        <v>2874022</v>
      </c>
      <c r="E53" s="10">
        <v>13093021</v>
      </c>
      <c r="F53" s="10">
        <v>11592567</v>
      </c>
      <c r="G53" s="10">
        <v>1316983</v>
      </c>
      <c r="H53" s="10">
        <v>2672483</v>
      </c>
      <c r="I53" s="10">
        <v>1133755</v>
      </c>
      <c r="J53" s="10">
        <v>6321751</v>
      </c>
      <c r="K53" s="10">
        <v>37429940</v>
      </c>
      <c r="L53" s="10">
        <f t="shared" si="0"/>
        <v>105915015</v>
      </c>
    </row>
    <row r="54" spans="1:12" x14ac:dyDescent="0.35">
      <c r="A54" s="7">
        <v>41760</v>
      </c>
      <c r="B54" s="11">
        <v>29984012</v>
      </c>
      <c r="C54" s="9">
        <v>67638</v>
      </c>
      <c r="D54" s="10">
        <v>2636027</v>
      </c>
      <c r="E54" s="10">
        <v>13273782</v>
      </c>
      <c r="F54" s="10">
        <v>12924288</v>
      </c>
      <c r="G54" s="10">
        <v>1140737</v>
      </c>
      <c r="H54" s="10">
        <v>2039024</v>
      </c>
      <c r="I54" s="10">
        <v>718644</v>
      </c>
      <c r="J54" s="10">
        <v>6744451</v>
      </c>
      <c r="K54" s="10">
        <v>38807984</v>
      </c>
      <c r="L54" s="10">
        <f t="shared" si="0"/>
        <v>108336587</v>
      </c>
    </row>
    <row r="55" spans="1:12" x14ac:dyDescent="0.35">
      <c r="A55" s="7">
        <v>41791</v>
      </c>
      <c r="B55" s="11">
        <v>31126801</v>
      </c>
      <c r="C55" s="9">
        <v>76279</v>
      </c>
      <c r="D55" s="10">
        <v>2448253</v>
      </c>
      <c r="E55" s="10">
        <v>13122959</v>
      </c>
      <c r="F55" s="10">
        <v>12781671</v>
      </c>
      <c r="G55" s="10">
        <v>1565987</v>
      </c>
      <c r="H55" s="10">
        <v>2613005</v>
      </c>
      <c r="I55" s="10">
        <v>462713</v>
      </c>
      <c r="J55" s="10">
        <v>7153014</v>
      </c>
      <c r="K55" s="10">
        <v>48289466</v>
      </c>
      <c r="L55" s="10">
        <f t="shared" si="0"/>
        <v>119640148</v>
      </c>
    </row>
    <row r="56" spans="1:12" x14ac:dyDescent="0.35">
      <c r="A56" s="7">
        <v>41821</v>
      </c>
      <c r="B56" s="11">
        <v>29282259</v>
      </c>
      <c r="C56" s="9">
        <v>64144</v>
      </c>
      <c r="D56" s="10">
        <v>2655128</v>
      </c>
      <c r="E56" s="10">
        <v>11711479</v>
      </c>
      <c r="F56" s="10">
        <v>12587666</v>
      </c>
      <c r="G56" s="10">
        <v>749796</v>
      </c>
      <c r="H56" s="10">
        <v>2697651</v>
      </c>
      <c r="I56" s="10">
        <v>782949</v>
      </c>
      <c r="J56" s="10">
        <v>5627836</v>
      </c>
      <c r="K56" s="10">
        <v>41186132</v>
      </c>
      <c r="L56" s="10">
        <f t="shared" si="0"/>
        <v>107345040</v>
      </c>
    </row>
    <row r="57" spans="1:12" x14ac:dyDescent="0.35">
      <c r="A57" s="7">
        <v>41852</v>
      </c>
      <c r="B57" s="11">
        <v>30858811</v>
      </c>
      <c r="C57" s="9">
        <v>50910</v>
      </c>
      <c r="D57" s="10">
        <v>2547104</v>
      </c>
      <c r="E57" s="10">
        <v>12367119</v>
      </c>
      <c r="F57" s="10">
        <v>14116053</v>
      </c>
      <c r="G57" s="10">
        <v>1109223</v>
      </c>
      <c r="H57" s="10">
        <v>2263003</v>
      </c>
      <c r="I57" s="10">
        <v>573946</v>
      </c>
      <c r="J57" s="10">
        <v>6258497</v>
      </c>
      <c r="K57" s="10">
        <v>39757845</v>
      </c>
      <c r="L57" s="10">
        <f t="shared" si="0"/>
        <v>109902511</v>
      </c>
    </row>
    <row r="58" spans="1:12" x14ac:dyDescent="0.35">
      <c r="A58" s="7">
        <v>41883</v>
      </c>
      <c r="B58" s="11">
        <v>29089759</v>
      </c>
      <c r="C58" s="9">
        <v>63384</v>
      </c>
      <c r="D58" s="10">
        <v>2564053</v>
      </c>
      <c r="E58" s="10">
        <v>13269547</v>
      </c>
      <c r="F58" s="10">
        <v>11265791</v>
      </c>
      <c r="G58" s="10">
        <v>1441437</v>
      </c>
      <c r="H58" s="10">
        <v>2123621</v>
      </c>
      <c r="I58" s="10">
        <v>525647</v>
      </c>
      <c r="J58" s="10">
        <v>6509312</v>
      </c>
      <c r="K58" s="10">
        <v>44146892</v>
      </c>
      <c r="L58" s="10">
        <f t="shared" si="0"/>
        <v>110999443</v>
      </c>
    </row>
    <row r="59" spans="1:12" x14ac:dyDescent="0.35">
      <c r="A59" s="7">
        <v>41913</v>
      </c>
      <c r="B59" s="11">
        <v>29701515</v>
      </c>
      <c r="C59" s="9">
        <v>76987</v>
      </c>
      <c r="D59" s="10">
        <v>2862692</v>
      </c>
      <c r="E59" s="10">
        <v>12547831</v>
      </c>
      <c r="F59" s="10">
        <v>12111189</v>
      </c>
      <c r="G59" s="10">
        <v>1296838</v>
      </c>
      <c r="H59" s="10">
        <v>1960774</v>
      </c>
      <c r="I59" s="10">
        <v>612789</v>
      </c>
      <c r="J59" s="10">
        <v>6133286</v>
      </c>
      <c r="K59" s="10">
        <v>42084885</v>
      </c>
      <c r="L59" s="10">
        <f t="shared" si="0"/>
        <v>109388786</v>
      </c>
    </row>
    <row r="60" spans="1:12" x14ac:dyDescent="0.35">
      <c r="A60" s="7">
        <v>41944</v>
      </c>
      <c r="B60" s="11">
        <v>35080310</v>
      </c>
      <c r="C60" s="9">
        <v>53502</v>
      </c>
      <c r="D60" s="10">
        <v>3763730</v>
      </c>
      <c r="E60" s="10">
        <v>12140970</v>
      </c>
      <c r="F60" s="10">
        <v>16095773</v>
      </c>
      <c r="G60" s="10">
        <v>1094961</v>
      </c>
      <c r="H60" s="10">
        <v>1417246</v>
      </c>
      <c r="I60" s="10">
        <v>388607</v>
      </c>
      <c r="J60" s="10">
        <v>9002772</v>
      </c>
      <c r="K60" s="10">
        <v>41870530</v>
      </c>
      <c r="L60" s="10">
        <f t="shared" si="0"/>
        <v>120908401</v>
      </c>
    </row>
    <row r="61" spans="1:12" x14ac:dyDescent="0.35">
      <c r="A61" s="7">
        <v>41974</v>
      </c>
      <c r="B61" s="11">
        <v>40719007</v>
      </c>
      <c r="C61" s="9">
        <v>61145</v>
      </c>
      <c r="D61" s="10">
        <v>6373755</v>
      </c>
      <c r="E61" s="10">
        <v>15636645</v>
      </c>
      <c r="F61" s="10">
        <v>27524806</v>
      </c>
      <c r="G61" s="10">
        <v>1426562</v>
      </c>
      <c r="H61" s="10">
        <v>2994509</v>
      </c>
      <c r="I61" s="10">
        <v>427869</v>
      </c>
      <c r="J61" s="10">
        <v>13220851</v>
      </c>
      <c r="K61" s="10">
        <v>58284117</v>
      </c>
      <c r="L61" s="10">
        <f t="shared" si="0"/>
        <v>166669266</v>
      </c>
    </row>
    <row r="62" spans="1:12" x14ac:dyDescent="0.35">
      <c r="A62" s="7">
        <v>42005</v>
      </c>
      <c r="B62" s="11">
        <v>27326036</v>
      </c>
      <c r="C62" s="9">
        <v>59433</v>
      </c>
      <c r="D62" s="10">
        <v>2473197</v>
      </c>
      <c r="E62" s="10">
        <v>12702325</v>
      </c>
      <c r="F62" s="10">
        <v>10009610</v>
      </c>
      <c r="G62" s="10">
        <v>1498979</v>
      </c>
      <c r="H62" s="10">
        <v>1484153</v>
      </c>
      <c r="I62" s="10">
        <v>225884</v>
      </c>
      <c r="J62" s="10">
        <v>4974285</v>
      </c>
      <c r="K62" s="10">
        <v>37568022</v>
      </c>
      <c r="L62" s="10">
        <f t="shared" si="0"/>
        <v>98321924</v>
      </c>
    </row>
    <row r="63" spans="1:12" x14ac:dyDescent="0.35">
      <c r="A63" s="7">
        <v>42036</v>
      </c>
      <c r="B63" s="11">
        <v>28259868</v>
      </c>
      <c r="C63" s="9">
        <v>76426</v>
      </c>
      <c r="D63" s="10">
        <v>2538379</v>
      </c>
      <c r="E63" s="10">
        <v>12413937</v>
      </c>
      <c r="F63" s="10">
        <v>11256254</v>
      </c>
      <c r="G63" s="10">
        <v>1105463</v>
      </c>
      <c r="H63" s="10">
        <v>1732576</v>
      </c>
      <c r="I63" s="10">
        <v>389455</v>
      </c>
      <c r="J63" s="10">
        <v>6346860</v>
      </c>
      <c r="K63" s="10">
        <v>36542526</v>
      </c>
      <c r="L63" s="10">
        <f t="shared" si="0"/>
        <v>100661744</v>
      </c>
    </row>
    <row r="64" spans="1:12" x14ac:dyDescent="0.35">
      <c r="A64" s="7">
        <v>42064</v>
      </c>
      <c r="B64" s="11">
        <v>32086460</v>
      </c>
      <c r="C64" s="9">
        <v>90400</v>
      </c>
      <c r="D64" s="10">
        <v>2523296</v>
      </c>
      <c r="E64" s="10">
        <v>14538779</v>
      </c>
      <c r="F64" s="10">
        <v>13339844</v>
      </c>
      <c r="G64" s="10">
        <v>1432118</v>
      </c>
      <c r="H64" s="10">
        <v>2356037</v>
      </c>
      <c r="I64" s="10">
        <v>941800</v>
      </c>
      <c r="J64" s="10">
        <v>7814080</v>
      </c>
      <c r="K64" s="10">
        <v>44133557</v>
      </c>
      <c r="L64" s="10">
        <f t="shared" si="0"/>
        <v>119256371</v>
      </c>
    </row>
    <row r="65" spans="1:12" x14ac:dyDescent="0.35">
      <c r="A65" s="7">
        <v>42095</v>
      </c>
      <c r="B65" s="11">
        <v>27842558</v>
      </c>
      <c r="C65" s="9">
        <v>88042</v>
      </c>
      <c r="D65" s="10">
        <v>2477150</v>
      </c>
      <c r="E65" s="10">
        <v>12770424</v>
      </c>
      <c r="F65" s="10">
        <v>10390463</v>
      </c>
      <c r="G65" s="10">
        <v>1294617</v>
      </c>
      <c r="H65" s="10">
        <v>1951652</v>
      </c>
      <c r="I65" s="10">
        <v>564940</v>
      </c>
      <c r="J65" s="10">
        <v>5697500</v>
      </c>
      <c r="K65" s="10">
        <v>39275548</v>
      </c>
      <c r="L65" s="10">
        <f t="shared" si="0"/>
        <v>102352894</v>
      </c>
    </row>
    <row r="66" spans="1:12" x14ac:dyDescent="0.35">
      <c r="A66" s="7">
        <v>42125</v>
      </c>
      <c r="B66" s="11">
        <v>29466109</v>
      </c>
      <c r="C66" s="9">
        <v>78147</v>
      </c>
      <c r="D66" s="10">
        <v>2257665</v>
      </c>
      <c r="E66" s="10">
        <v>12557031</v>
      </c>
      <c r="F66" s="10">
        <v>11429461</v>
      </c>
      <c r="G66" s="10">
        <v>1201067</v>
      </c>
      <c r="H66" s="10">
        <v>1773418</v>
      </c>
      <c r="I66" s="10">
        <v>671759</v>
      </c>
      <c r="J66" s="10">
        <v>6823430</v>
      </c>
      <c r="K66" s="10">
        <v>45591377</v>
      </c>
      <c r="L66" s="10">
        <f t="shared" si="0"/>
        <v>111849464</v>
      </c>
    </row>
    <row r="67" spans="1:12" x14ac:dyDescent="0.35">
      <c r="A67" s="7">
        <v>42156</v>
      </c>
      <c r="B67" s="11">
        <v>28756967.899999999</v>
      </c>
      <c r="C67" s="9">
        <v>85105.55</v>
      </c>
      <c r="D67" s="10">
        <v>2178493.31</v>
      </c>
      <c r="E67" s="10">
        <v>12951406.75</v>
      </c>
      <c r="F67" s="10">
        <v>13167985.119999999</v>
      </c>
      <c r="G67" s="10">
        <v>1420014.25</v>
      </c>
      <c r="H67" s="10">
        <v>2182035.7599999998</v>
      </c>
      <c r="I67" s="10">
        <v>545226.27</v>
      </c>
      <c r="J67" s="10">
        <v>6795862</v>
      </c>
      <c r="K67" s="10">
        <v>43614331.780000001</v>
      </c>
      <c r="L67" s="10">
        <f t="shared" ref="L67:L68" si="1">SUM(B67:K67)</f>
        <v>111697428.69</v>
      </c>
    </row>
    <row r="68" spans="1:12" x14ac:dyDescent="0.35">
      <c r="A68" s="7">
        <v>42186</v>
      </c>
      <c r="B68" s="11">
        <v>24542003</v>
      </c>
      <c r="C68" s="9">
        <v>73067</v>
      </c>
      <c r="D68" s="10">
        <v>2353517</v>
      </c>
      <c r="E68" s="10">
        <v>12867458</v>
      </c>
      <c r="F68" s="10">
        <v>12101683</v>
      </c>
      <c r="G68" s="10">
        <v>1031633</v>
      </c>
      <c r="H68" s="10">
        <v>2188438</v>
      </c>
      <c r="I68" s="10">
        <v>810990</v>
      </c>
      <c r="J68" s="10">
        <v>10244228</v>
      </c>
      <c r="K68" s="10">
        <v>39590892</v>
      </c>
      <c r="L68" s="10">
        <f t="shared" si="1"/>
        <v>105803909</v>
      </c>
    </row>
    <row r="69" spans="1:12" x14ac:dyDescent="0.35">
      <c r="A69" s="7">
        <v>42217</v>
      </c>
      <c r="B69" s="11">
        <v>28833729</v>
      </c>
      <c r="C69" s="9">
        <v>79315</v>
      </c>
      <c r="D69" s="10">
        <v>2091195</v>
      </c>
      <c r="E69" s="10">
        <v>12536087</v>
      </c>
      <c r="F69" s="10">
        <v>11412028</v>
      </c>
      <c r="G69" s="10">
        <v>1056226</v>
      </c>
      <c r="H69" s="10">
        <v>2204433</v>
      </c>
      <c r="I69" s="10">
        <v>565219</v>
      </c>
      <c r="J69" s="10">
        <v>5871925</v>
      </c>
      <c r="K69" s="10">
        <v>39800475</v>
      </c>
      <c r="L69" s="10">
        <f t="shared" ref="L69:L79" si="2">SUM(B69:K69)</f>
        <v>104450632</v>
      </c>
    </row>
    <row r="70" spans="1:12" x14ac:dyDescent="0.35">
      <c r="A70" s="7">
        <v>42248</v>
      </c>
      <c r="B70" s="11">
        <v>28260457</v>
      </c>
      <c r="C70" s="9">
        <v>74414</v>
      </c>
      <c r="D70" s="10">
        <v>2378182</v>
      </c>
      <c r="E70" s="10">
        <v>13980541</v>
      </c>
      <c r="F70" s="10">
        <v>11687784</v>
      </c>
      <c r="G70" s="10">
        <v>1356756</v>
      </c>
      <c r="H70" s="10">
        <v>2105683</v>
      </c>
      <c r="I70" s="10">
        <v>514264</v>
      </c>
      <c r="J70" s="10">
        <v>6372988</v>
      </c>
      <c r="K70" s="10">
        <v>45281769</v>
      </c>
      <c r="L70" s="10">
        <f t="shared" si="2"/>
        <v>112012838</v>
      </c>
    </row>
    <row r="71" spans="1:12" x14ac:dyDescent="0.35">
      <c r="A71" s="7">
        <v>42278</v>
      </c>
      <c r="B71" s="11">
        <v>33260679</v>
      </c>
      <c r="C71" s="9">
        <v>75062</v>
      </c>
      <c r="D71" s="10">
        <v>2702755</v>
      </c>
      <c r="E71" s="10">
        <v>13247305</v>
      </c>
      <c r="F71" s="10">
        <v>9666235</v>
      </c>
      <c r="G71" s="10">
        <v>1116598</v>
      </c>
      <c r="H71" s="10">
        <v>1191005</v>
      </c>
      <c r="I71" s="10">
        <v>307494</v>
      </c>
      <c r="J71" s="10">
        <v>492889</v>
      </c>
      <c r="K71" s="10">
        <v>41727376</v>
      </c>
      <c r="L71" s="10">
        <f t="shared" si="2"/>
        <v>103787398</v>
      </c>
    </row>
    <row r="72" spans="1:12" x14ac:dyDescent="0.35">
      <c r="A72" s="7">
        <v>42309</v>
      </c>
      <c r="B72" s="11">
        <v>34224378</v>
      </c>
      <c r="C72" s="9">
        <v>81565</v>
      </c>
      <c r="D72" s="10">
        <v>3474745</v>
      </c>
      <c r="E72" s="10">
        <v>13045600</v>
      </c>
      <c r="F72" s="10">
        <v>12753845</v>
      </c>
      <c r="G72" s="10">
        <v>1051247</v>
      </c>
      <c r="H72" s="10">
        <v>2233636</v>
      </c>
      <c r="I72" s="10">
        <v>210058</v>
      </c>
      <c r="J72" s="10">
        <v>8254580</v>
      </c>
      <c r="K72" s="10">
        <v>44910372</v>
      </c>
      <c r="L72" s="10">
        <f t="shared" si="2"/>
        <v>120240026</v>
      </c>
    </row>
    <row r="73" spans="1:12" x14ac:dyDescent="0.35">
      <c r="A73" s="7">
        <v>42339</v>
      </c>
      <c r="B73" s="11">
        <v>38933774.280000001</v>
      </c>
      <c r="C73" s="9">
        <v>69566.259999999995</v>
      </c>
      <c r="D73" s="10">
        <v>6226446.6200000001</v>
      </c>
      <c r="E73" s="10">
        <v>16369887.210000001</v>
      </c>
      <c r="F73" s="10">
        <v>23905902.27</v>
      </c>
      <c r="G73" s="10">
        <v>1600895.05</v>
      </c>
      <c r="H73" s="10">
        <v>4073049.85</v>
      </c>
      <c r="I73" s="10">
        <v>155869.16</v>
      </c>
      <c r="J73" s="10">
        <v>12006734.119999999</v>
      </c>
      <c r="K73" s="10">
        <v>59170478.340000004</v>
      </c>
      <c r="L73" s="10">
        <f t="shared" si="2"/>
        <v>162512603.16</v>
      </c>
    </row>
    <row r="74" spans="1:12" x14ac:dyDescent="0.35">
      <c r="A74" s="7">
        <v>42370</v>
      </c>
      <c r="B74" s="11">
        <v>25988505</v>
      </c>
      <c r="C74" s="9">
        <v>63770</v>
      </c>
      <c r="D74" s="10">
        <v>2084954</v>
      </c>
      <c r="E74" s="10">
        <v>12985632</v>
      </c>
      <c r="F74" s="10">
        <v>8833549</v>
      </c>
      <c r="G74" s="10">
        <v>1303092</v>
      </c>
      <c r="H74" s="10">
        <v>1454343</v>
      </c>
      <c r="I74" s="10">
        <v>347254</v>
      </c>
      <c r="J74" s="10">
        <v>4686420</v>
      </c>
      <c r="K74" s="10">
        <v>40761937</v>
      </c>
      <c r="L74" s="10">
        <f t="shared" si="2"/>
        <v>98509456</v>
      </c>
    </row>
    <row r="75" spans="1:12" x14ac:dyDescent="0.35">
      <c r="A75" s="7">
        <v>42401</v>
      </c>
      <c r="B75" s="11">
        <v>27250105.329999998</v>
      </c>
      <c r="C75" s="9">
        <v>58021.07</v>
      </c>
      <c r="D75" s="10">
        <v>2147713.6</v>
      </c>
      <c r="E75" s="10">
        <v>14473442.83</v>
      </c>
      <c r="F75" s="10">
        <v>10196818.24</v>
      </c>
      <c r="G75" s="10">
        <v>1061356.0900000001</v>
      </c>
      <c r="H75" s="10">
        <v>1670707.75</v>
      </c>
      <c r="I75" s="10">
        <v>277357.23</v>
      </c>
      <c r="J75" s="10">
        <v>5762352.4699999997</v>
      </c>
      <c r="K75" s="10">
        <v>43135869.93</v>
      </c>
      <c r="L75" s="10">
        <f t="shared" si="2"/>
        <v>106033744.53999999</v>
      </c>
    </row>
    <row r="76" spans="1:12" x14ac:dyDescent="0.35">
      <c r="A76" s="7">
        <v>42430</v>
      </c>
      <c r="B76" s="11">
        <v>30011156.280000001</v>
      </c>
      <c r="C76" s="9">
        <v>59797.43</v>
      </c>
      <c r="D76" s="10">
        <v>2475746.67</v>
      </c>
      <c r="E76" s="10">
        <v>16670001.25</v>
      </c>
      <c r="F76" s="10">
        <v>10747185.52</v>
      </c>
      <c r="G76" s="10">
        <v>1564193.83</v>
      </c>
      <c r="H76" s="10">
        <v>2286020.83</v>
      </c>
      <c r="I76" s="10">
        <v>465337.93</v>
      </c>
      <c r="J76" s="10">
        <v>7009858.8300000001</v>
      </c>
      <c r="K76" s="10">
        <v>52303183.509999998</v>
      </c>
      <c r="L76" s="10">
        <f t="shared" si="2"/>
        <v>123592482.08000001</v>
      </c>
    </row>
    <row r="77" spans="1:12" x14ac:dyDescent="0.35">
      <c r="A77" s="7">
        <v>42461</v>
      </c>
      <c r="B77" s="11">
        <v>25619282</v>
      </c>
      <c r="C77" s="9">
        <v>75395</v>
      </c>
      <c r="D77" s="10">
        <v>2386895</v>
      </c>
      <c r="E77" s="10">
        <v>14688211</v>
      </c>
      <c r="F77" s="10">
        <v>9434911</v>
      </c>
      <c r="G77" s="10">
        <v>1120008</v>
      </c>
      <c r="H77" s="10">
        <v>2083002</v>
      </c>
      <c r="I77" s="10">
        <v>437528</v>
      </c>
      <c r="J77" s="10">
        <v>5465127</v>
      </c>
      <c r="K77" s="10">
        <v>43572929</v>
      </c>
      <c r="L77" s="10">
        <f t="shared" si="2"/>
        <v>104883288</v>
      </c>
    </row>
    <row r="78" spans="1:12" x14ac:dyDescent="0.35">
      <c r="A78" s="7">
        <v>42491</v>
      </c>
      <c r="B78" s="11">
        <v>26822196.75</v>
      </c>
      <c r="C78" s="9">
        <v>59872.9</v>
      </c>
      <c r="D78" s="10">
        <v>2045408.88</v>
      </c>
      <c r="E78" s="10">
        <v>14304499.970000001</v>
      </c>
      <c r="F78" s="10">
        <v>9335262.4900000002</v>
      </c>
      <c r="G78" s="10">
        <v>1084966.8600000001</v>
      </c>
      <c r="H78" s="10">
        <v>1979801.42</v>
      </c>
      <c r="I78" s="10">
        <v>418599.7</v>
      </c>
      <c r="J78" s="10">
        <v>6185678.9299999997</v>
      </c>
      <c r="K78" s="10">
        <v>42830135.700000003</v>
      </c>
      <c r="L78" s="10">
        <f t="shared" si="2"/>
        <v>105066423.60000001</v>
      </c>
    </row>
    <row r="79" spans="1:12" x14ac:dyDescent="0.35">
      <c r="A79" s="7">
        <v>42522</v>
      </c>
      <c r="B79" s="11">
        <v>27557348.66</v>
      </c>
      <c r="C79" s="9">
        <v>78156.22</v>
      </c>
      <c r="D79" s="10">
        <v>2376385.84</v>
      </c>
      <c r="E79" s="10">
        <v>14960097.42</v>
      </c>
      <c r="F79" s="10">
        <v>11216790.189999999</v>
      </c>
      <c r="G79" s="10">
        <v>1416829.01</v>
      </c>
      <c r="H79" s="10">
        <v>2046521.94</v>
      </c>
      <c r="I79" s="10">
        <v>479563.28</v>
      </c>
      <c r="J79" s="10">
        <v>6966300.0300000003</v>
      </c>
      <c r="K79" s="10">
        <v>48289038.969999999</v>
      </c>
      <c r="L79" s="10">
        <f t="shared" si="2"/>
        <v>115387031.56</v>
      </c>
    </row>
    <row r="80" spans="1:12" x14ac:dyDescent="0.35">
      <c r="A80" s="7">
        <v>42552</v>
      </c>
      <c r="B80" s="11">
        <v>26563232</v>
      </c>
      <c r="C80" s="9">
        <v>61682</v>
      </c>
      <c r="D80" s="10">
        <v>2211677</v>
      </c>
      <c r="E80" s="10">
        <v>13169926</v>
      </c>
      <c r="F80" s="10">
        <v>10381172</v>
      </c>
      <c r="G80" s="10">
        <v>970220</v>
      </c>
      <c r="H80" s="10">
        <v>2014029</v>
      </c>
      <c r="I80" s="10">
        <v>564845</v>
      </c>
      <c r="J80" s="10">
        <v>5161832</v>
      </c>
      <c r="K80" s="10">
        <v>41550081</v>
      </c>
      <c r="L80" s="10">
        <f>SUM(B80:K80)</f>
        <v>102648696</v>
      </c>
    </row>
    <row r="81" spans="1:12" x14ac:dyDescent="0.35">
      <c r="A81" s="7">
        <v>42583</v>
      </c>
      <c r="B81" s="11">
        <v>26381546</v>
      </c>
      <c r="C81" s="9">
        <v>52520</v>
      </c>
      <c r="D81" s="10">
        <v>1943131</v>
      </c>
      <c r="E81" s="10">
        <v>19999264</v>
      </c>
      <c r="F81" s="10">
        <v>8839507</v>
      </c>
      <c r="G81" s="10">
        <v>1071650</v>
      </c>
      <c r="H81" s="10">
        <v>2339889</v>
      </c>
      <c r="I81" s="10">
        <v>433119</v>
      </c>
      <c r="J81" s="10">
        <v>5453155</v>
      </c>
      <c r="K81" s="10">
        <v>41579354</v>
      </c>
      <c r="L81" s="10">
        <f>SUM(B81:K81)</f>
        <v>108093135</v>
      </c>
    </row>
    <row r="82" spans="1:12" x14ac:dyDescent="0.35">
      <c r="A82" s="7">
        <v>42614</v>
      </c>
      <c r="B82" s="11">
        <v>26184955.579999998</v>
      </c>
      <c r="C82" s="9">
        <v>76402.179999999993</v>
      </c>
      <c r="D82" s="10">
        <v>2495048.5099999998</v>
      </c>
      <c r="E82" s="10">
        <v>21285481.16</v>
      </c>
      <c r="F82" s="10">
        <v>9471325.4299999997</v>
      </c>
      <c r="G82" s="10">
        <v>1431400.49</v>
      </c>
      <c r="H82" s="10">
        <v>2195607.66</v>
      </c>
      <c r="I82" s="10">
        <v>644741.73</v>
      </c>
      <c r="J82" s="10">
        <v>6147609.8700000001</v>
      </c>
      <c r="K82" s="10">
        <v>47411410.289999999</v>
      </c>
      <c r="L82" s="10">
        <f>SUM(B82:K82)</f>
        <v>117343982.89999998</v>
      </c>
    </row>
    <row r="83" spans="1:12" x14ac:dyDescent="0.35">
      <c r="A83" s="7">
        <v>42644</v>
      </c>
      <c r="B83" s="11">
        <v>26339971.41</v>
      </c>
      <c r="C83" s="9">
        <v>75376.37</v>
      </c>
      <c r="D83" s="10">
        <v>2621157.81</v>
      </c>
      <c r="E83" s="10">
        <v>18118049.629999999</v>
      </c>
      <c r="F83" s="10">
        <v>8477386.8200000003</v>
      </c>
      <c r="G83" s="10">
        <v>1050048.67</v>
      </c>
      <c r="H83" s="10">
        <v>1736720.55</v>
      </c>
      <c r="I83" s="10">
        <v>392612.77</v>
      </c>
      <c r="J83" s="10">
        <v>5300679.1500000004</v>
      </c>
      <c r="K83" s="10">
        <v>46856467.490000002</v>
      </c>
      <c r="L83" s="10">
        <f t="shared" ref="L83:L89" si="3">SUM(B83:K83)</f>
        <v>110968470.67</v>
      </c>
    </row>
    <row r="84" spans="1:12" x14ac:dyDescent="0.35">
      <c r="A84" s="7">
        <v>42675</v>
      </c>
      <c r="B84" s="11">
        <v>30681951</v>
      </c>
      <c r="C84" s="9">
        <v>65019</v>
      </c>
      <c r="D84" s="10">
        <v>3252830</v>
      </c>
      <c r="E84" s="10">
        <v>15247040</v>
      </c>
      <c r="F84" s="10">
        <v>11819095</v>
      </c>
      <c r="G84" s="10">
        <v>983222</v>
      </c>
      <c r="H84" s="10">
        <v>1824795</v>
      </c>
      <c r="I84" s="10">
        <v>220500</v>
      </c>
      <c r="J84" s="10">
        <v>6352481</v>
      </c>
      <c r="K84" s="10">
        <v>46875402</v>
      </c>
      <c r="L84" s="10">
        <f t="shared" si="3"/>
        <v>117322335</v>
      </c>
    </row>
    <row r="85" spans="1:12" x14ac:dyDescent="0.35">
      <c r="A85" s="7">
        <v>42705</v>
      </c>
      <c r="B85" s="11">
        <v>37656126</v>
      </c>
      <c r="C85" s="9">
        <v>77351</v>
      </c>
      <c r="D85" s="10">
        <v>5601925</v>
      </c>
      <c r="E85" s="10">
        <v>18921214</v>
      </c>
      <c r="F85" s="10">
        <v>20375949</v>
      </c>
      <c r="G85" s="10">
        <v>1179131</v>
      </c>
      <c r="H85" s="10">
        <v>4669241</v>
      </c>
      <c r="I85" s="10">
        <v>110861</v>
      </c>
      <c r="J85" s="10">
        <v>12616990</v>
      </c>
      <c r="K85" s="10">
        <v>63349179</v>
      </c>
      <c r="L85" s="10">
        <f t="shared" si="3"/>
        <v>164557967</v>
      </c>
    </row>
    <row r="86" spans="1:12" x14ac:dyDescent="0.35">
      <c r="A86" s="7">
        <v>42736</v>
      </c>
      <c r="B86" s="11">
        <v>24692324</v>
      </c>
      <c r="C86" s="9">
        <v>90249.85</v>
      </c>
      <c r="D86" s="10">
        <v>1966230.43</v>
      </c>
      <c r="E86" s="10">
        <v>14682601.359999999</v>
      </c>
      <c r="F86" s="10">
        <v>7150421.0300000003</v>
      </c>
      <c r="G86" s="10">
        <v>1064737.32</v>
      </c>
      <c r="H86" s="10">
        <v>1462159.46</v>
      </c>
      <c r="I86" s="10">
        <v>139883.54</v>
      </c>
      <c r="J86" s="10">
        <v>4574084.32</v>
      </c>
      <c r="K86" s="10">
        <v>45671238.770000003</v>
      </c>
      <c r="L86" s="10">
        <f t="shared" si="3"/>
        <v>101493930.08000001</v>
      </c>
    </row>
    <row r="87" spans="1:12" x14ac:dyDescent="0.35">
      <c r="A87" s="7">
        <v>42767</v>
      </c>
      <c r="B87" s="11">
        <v>25360921.329999998</v>
      </c>
      <c r="C87" s="9">
        <v>27622.77</v>
      </c>
      <c r="D87" s="10">
        <v>2164505.0299999998</v>
      </c>
      <c r="E87" s="10">
        <v>13644154.800000001</v>
      </c>
      <c r="F87" s="10">
        <v>8356830.7599999998</v>
      </c>
      <c r="G87" s="10">
        <v>1009970.81</v>
      </c>
      <c r="H87" s="10">
        <v>1768571.76</v>
      </c>
      <c r="I87" s="10">
        <v>345324.07</v>
      </c>
      <c r="J87" s="10">
        <v>5290850.34</v>
      </c>
      <c r="K87" s="10">
        <v>42407799.030000001</v>
      </c>
      <c r="L87" s="10">
        <f t="shared" si="3"/>
        <v>100376550.7</v>
      </c>
    </row>
    <row r="88" spans="1:12" x14ac:dyDescent="0.35">
      <c r="A88" s="7">
        <v>42795</v>
      </c>
      <c r="B88" s="11">
        <v>29335360.66</v>
      </c>
      <c r="C88" s="9">
        <v>113219.18</v>
      </c>
      <c r="D88" s="10">
        <v>2562509.1800000002</v>
      </c>
      <c r="E88" s="10">
        <v>15809486.67</v>
      </c>
      <c r="F88" s="10">
        <v>11006856.939999999</v>
      </c>
      <c r="G88" s="10">
        <v>1284416.76</v>
      </c>
      <c r="H88" s="10">
        <v>2267682.14</v>
      </c>
      <c r="I88" s="10">
        <v>293633.38</v>
      </c>
      <c r="J88" s="10">
        <v>6517648.7800000003</v>
      </c>
      <c r="K88" s="10">
        <v>53081392.520000003</v>
      </c>
      <c r="L88" s="10">
        <f t="shared" si="3"/>
        <v>122272206.21000001</v>
      </c>
    </row>
    <row r="89" spans="1:12" x14ac:dyDescent="0.35">
      <c r="A89" s="7">
        <v>42826</v>
      </c>
      <c r="B89" s="11">
        <v>25806589.98</v>
      </c>
      <c r="C89" s="9">
        <v>69003.17</v>
      </c>
      <c r="D89" s="10">
        <v>2313824.7000000002</v>
      </c>
      <c r="E89" s="10">
        <v>14713833.84</v>
      </c>
      <c r="F89" s="10">
        <v>9252890.2599999998</v>
      </c>
      <c r="G89" s="10">
        <v>1118410.58</v>
      </c>
      <c r="H89" s="10">
        <v>2025716.22</v>
      </c>
      <c r="I89" s="10">
        <v>515457.1</v>
      </c>
      <c r="J89" s="10">
        <v>5548628.9699999997</v>
      </c>
      <c r="K89" s="10">
        <v>44314865.350000001</v>
      </c>
      <c r="L89" s="10">
        <f t="shared" si="3"/>
        <v>105679220.16999999</v>
      </c>
    </row>
    <row r="90" spans="1:12" x14ac:dyDescent="0.35">
      <c r="A90" s="7">
        <v>42856</v>
      </c>
      <c r="B90" s="11">
        <v>21402240.239999998</v>
      </c>
      <c r="C90" s="9">
        <v>78293.600000000006</v>
      </c>
      <c r="D90" s="10">
        <v>1958811.87</v>
      </c>
      <c r="E90" s="10">
        <v>15007299</v>
      </c>
      <c r="F90" s="10">
        <v>10162498.07</v>
      </c>
      <c r="G90" s="10">
        <v>1056754.8999999999</v>
      </c>
      <c r="H90" s="10">
        <v>1814115.47</v>
      </c>
      <c r="I90" s="10">
        <v>254594.75</v>
      </c>
      <c r="J90" s="10">
        <v>9476380.8599999994</v>
      </c>
      <c r="K90" s="10">
        <v>47652202.240000002</v>
      </c>
      <c r="L90" s="10">
        <f>SUM(B90:K90)</f>
        <v>108863191</v>
      </c>
    </row>
    <row r="91" spans="1:12" x14ac:dyDescent="0.35">
      <c r="A91" s="7">
        <v>42887</v>
      </c>
      <c r="B91" s="11">
        <v>25848840</v>
      </c>
      <c r="C91" s="9">
        <v>73894</v>
      </c>
      <c r="D91" s="10">
        <v>2148323</v>
      </c>
      <c r="E91" s="10">
        <v>15370730</v>
      </c>
      <c r="F91" s="10">
        <v>10005157</v>
      </c>
      <c r="G91" s="10">
        <v>879663</v>
      </c>
      <c r="H91" s="10">
        <v>2239004</v>
      </c>
      <c r="I91" s="10">
        <v>393156</v>
      </c>
      <c r="J91" s="10">
        <v>5973688</v>
      </c>
      <c r="K91" s="10">
        <v>48619528</v>
      </c>
      <c r="L91" s="10">
        <f>SUM(B91:K91)</f>
        <v>111551983</v>
      </c>
    </row>
    <row r="92" spans="1:12" x14ac:dyDescent="0.35">
      <c r="A92" s="7">
        <v>42917</v>
      </c>
      <c r="B92" s="11">
        <v>24982614</v>
      </c>
      <c r="C92" s="9">
        <v>82417</v>
      </c>
      <c r="D92" s="10">
        <v>2038125</v>
      </c>
      <c r="E92" s="10">
        <v>13560178</v>
      </c>
      <c r="F92" s="10">
        <v>9554864</v>
      </c>
      <c r="G92" s="10">
        <v>1292318</v>
      </c>
      <c r="H92" s="10">
        <v>2146543</v>
      </c>
      <c r="I92" s="10">
        <v>460325</v>
      </c>
      <c r="J92" s="10">
        <v>4899517</v>
      </c>
      <c r="K92" s="10">
        <v>42314174</v>
      </c>
      <c r="L92" s="10">
        <f>SUM(B92:K92)</f>
        <v>101331075</v>
      </c>
    </row>
    <row r="93" spans="1:12" x14ac:dyDescent="0.35">
      <c r="A93" s="7">
        <v>42948</v>
      </c>
      <c r="B93" s="11">
        <v>25668529</v>
      </c>
      <c r="C93" s="9">
        <v>61243</v>
      </c>
      <c r="D93" s="10">
        <v>2448375</v>
      </c>
      <c r="E93" s="10">
        <v>14738807</v>
      </c>
      <c r="F93" s="10">
        <v>9204008</v>
      </c>
      <c r="G93" s="10">
        <v>932194</v>
      </c>
      <c r="H93" s="10">
        <v>2441612</v>
      </c>
      <c r="I93" s="10">
        <v>315847</v>
      </c>
      <c r="J93" s="10">
        <v>5757770</v>
      </c>
      <c r="K93" s="10">
        <v>45185173</v>
      </c>
      <c r="L93" s="10">
        <f>SUM(B93:K93)</f>
        <v>106753558</v>
      </c>
    </row>
    <row r="94" spans="1:12" x14ac:dyDescent="0.35">
      <c r="A94" s="7">
        <v>42979</v>
      </c>
      <c r="B94" s="11">
        <v>25782196</v>
      </c>
      <c r="C94" s="9">
        <v>84003</v>
      </c>
      <c r="D94" s="10">
        <v>2301200</v>
      </c>
      <c r="E94" s="10">
        <v>15982663</v>
      </c>
      <c r="F94" s="10">
        <v>9191731</v>
      </c>
      <c r="G94" s="10">
        <v>1152689</v>
      </c>
      <c r="H94" s="10">
        <v>2131261</v>
      </c>
      <c r="I94" s="10">
        <v>268183</v>
      </c>
      <c r="J94" s="10">
        <v>6185694</v>
      </c>
      <c r="K94" s="10">
        <v>46976171</v>
      </c>
      <c r="L94" s="10">
        <f t="shared" ref="L94:L130" si="4">SUM(B94:K94)</f>
        <v>110055791</v>
      </c>
    </row>
    <row r="95" spans="1:12" x14ac:dyDescent="0.35">
      <c r="A95" s="7">
        <v>43009</v>
      </c>
      <c r="B95" s="11">
        <v>25091854</v>
      </c>
      <c r="C95" s="9">
        <v>65813</v>
      </c>
      <c r="D95" s="10">
        <v>2322002</v>
      </c>
      <c r="E95" s="10">
        <v>14988357</v>
      </c>
      <c r="F95" s="10">
        <v>8372891</v>
      </c>
      <c r="G95" s="10">
        <v>1004186</v>
      </c>
      <c r="H95" s="10">
        <v>2064402</v>
      </c>
      <c r="I95" s="10">
        <v>337477</v>
      </c>
      <c r="J95" s="10">
        <v>5291914</v>
      </c>
      <c r="K95" s="10">
        <v>44086872</v>
      </c>
      <c r="L95" s="10">
        <f t="shared" si="4"/>
        <v>103625768</v>
      </c>
    </row>
    <row r="96" spans="1:12" x14ac:dyDescent="0.35">
      <c r="A96" s="7">
        <v>43040</v>
      </c>
      <c r="B96" s="11">
        <v>28153551</v>
      </c>
      <c r="C96" s="9">
        <v>45833</v>
      </c>
      <c r="D96" s="10">
        <v>2804239</v>
      </c>
      <c r="E96" s="10">
        <v>14906906</v>
      </c>
      <c r="F96" s="10">
        <v>10886621</v>
      </c>
      <c r="G96" s="10">
        <v>472574</v>
      </c>
      <c r="H96" s="10">
        <v>1859864</v>
      </c>
      <c r="I96" s="10">
        <v>3362</v>
      </c>
      <c r="J96" s="10">
        <v>10130077</v>
      </c>
      <c r="K96" s="10">
        <v>46580741</v>
      </c>
      <c r="L96" s="10">
        <f t="shared" si="4"/>
        <v>115843768</v>
      </c>
    </row>
    <row r="97" spans="1:12" ht="15" thickBot="1" x14ac:dyDescent="0.4">
      <c r="A97" s="55">
        <v>43070</v>
      </c>
      <c r="B97" s="67">
        <v>35511868.270000003</v>
      </c>
      <c r="C97" s="68">
        <v>107107.52</v>
      </c>
      <c r="D97" s="69">
        <v>5059917.63</v>
      </c>
      <c r="E97" s="69">
        <v>18225878.629999999</v>
      </c>
      <c r="F97" s="69">
        <v>18610179.280000001</v>
      </c>
      <c r="G97" s="69">
        <v>1450634.03</v>
      </c>
      <c r="H97" s="69">
        <v>4724469.22</v>
      </c>
      <c r="I97" s="69">
        <v>107412.47</v>
      </c>
      <c r="J97" s="69">
        <v>13628588.619999999</v>
      </c>
      <c r="K97" s="69">
        <v>64148035.409999996</v>
      </c>
      <c r="L97" s="69">
        <f t="shared" si="4"/>
        <v>161574091.08000001</v>
      </c>
    </row>
    <row r="98" spans="1:12" x14ac:dyDescent="0.35">
      <c r="A98" s="53">
        <v>43101</v>
      </c>
      <c r="B98" s="70">
        <v>23319590.530000001</v>
      </c>
      <c r="C98" s="71">
        <v>45407.89</v>
      </c>
      <c r="D98" s="72">
        <v>2269191.7200000002</v>
      </c>
      <c r="E98" s="72">
        <v>14759200.33</v>
      </c>
      <c r="F98" s="72">
        <v>7546714.9699999997</v>
      </c>
      <c r="G98" s="72">
        <v>490990.3</v>
      </c>
      <c r="H98" s="72">
        <v>1193258.2</v>
      </c>
      <c r="I98" s="72">
        <v>98221.119999999995</v>
      </c>
      <c r="J98" s="72">
        <v>5562421.7000000002</v>
      </c>
      <c r="K98" s="72">
        <v>37388429.240000002</v>
      </c>
      <c r="L98" s="70">
        <f t="shared" si="4"/>
        <v>92673426</v>
      </c>
    </row>
    <row r="99" spans="1:12" x14ac:dyDescent="0.35">
      <c r="A99" s="7">
        <v>43132</v>
      </c>
      <c r="B99" s="11">
        <v>23799520.050000001</v>
      </c>
      <c r="C99" s="9">
        <v>71454.350000000006</v>
      </c>
      <c r="D99" s="10">
        <v>1949826.52</v>
      </c>
      <c r="E99" s="10">
        <v>14400930.34</v>
      </c>
      <c r="F99" s="10">
        <v>8698635.1500000004</v>
      </c>
      <c r="G99" s="10">
        <v>1285456.3700000001</v>
      </c>
      <c r="H99" s="10">
        <v>1652110.48</v>
      </c>
      <c r="I99" s="10">
        <v>200501.51</v>
      </c>
      <c r="J99" s="10">
        <v>4834137.53</v>
      </c>
      <c r="K99" s="10">
        <v>41403723.710000001</v>
      </c>
      <c r="L99" s="11">
        <f t="shared" si="4"/>
        <v>98296296.00999999</v>
      </c>
    </row>
    <row r="100" spans="1:12" x14ac:dyDescent="0.35">
      <c r="A100" s="7">
        <v>43160</v>
      </c>
      <c r="B100" s="11">
        <v>27965509.039999999</v>
      </c>
      <c r="C100" s="9">
        <v>99385.77</v>
      </c>
      <c r="D100" s="10">
        <v>2746061.68</v>
      </c>
      <c r="E100" s="10">
        <v>16154948.16</v>
      </c>
      <c r="F100" s="10">
        <v>10765904.74</v>
      </c>
      <c r="G100" s="10">
        <v>1407443.38</v>
      </c>
      <c r="H100" s="10">
        <v>2520218.29</v>
      </c>
      <c r="I100" s="10">
        <v>290505.5</v>
      </c>
      <c r="J100" s="10">
        <v>8290854.8300000001</v>
      </c>
      <c r="K100" s="10">
        <v>57623876.700000003</v>
      </c>
      <c r="L100" s="11">
        <f t="shared" si="4"/>
        <v>127864708.09</v>
      </c>
    </row>
    <row r="101" spans="1:12" x14ac:dyDescent="0.35">
      <c r="A101" s="7">
        <v>43191</v>
      </c>
      <c r="B101" s="11">
        <v>23111189.890000001</v>
      </c>
      <c r="C101" s="9">
        <v>67508.649999999994</v>
      </c>
      <c r="D101" s="10">
        <v>2103539.1</v>
      </c>
      <c r="E101" s="10">
        <v>14927256.1</v>
      </c>
      <c r="F101" s="10">
        <v>8155791.7000000002</v>
      </c>
      <c r="G101" s="10">
        <v>1046549.25</v>
      </c>
      <c r="H101" s="10">
        <v>1783624.86</v>
      </c>
      <c r="I101" s="10">
        <v>407447.65</v>
      </c>
      <c r="J101" s="10">
        <v>5610090.2999999998</v>
      </c>
      <c r="K101" s="10">
        <v>41520528.130000003</v>
      </c>
      <c r="L101" s="11">
        <f t="shared" si="4"/>
        <v>98733525.629999995</v>
      </c>
    </row>
    <row r="102" spans="1:12" x14ac:dyDescent="0.35">
      <c r="A102" s="7">
        <v>43221</v>
      </c>
      <c r="B102" s="11">
        <v>25005854.109999999</v>
      </c>
      <c r="C102" s="9">
        <v>87466.05</v>
      </c>
      <c r="D102" s="10">
        <v>2541162.7200000002</v>
      </c>
      <c r="E102" s="10">
        <v>15921122.99</v>
      </c>
      <c r="F102" s="10">
        <v>9776072.0999999996</v>
      </c>
      <c r="G102" s="10">
        <v>975515.07</v>
      </c>
      <c r="H102" s="10">
        <v>1961694.84</v>
      </c>
      <c r="I102" s="10">
        <v>408929.75</v>
      </c>
      <c r="J102" s="10">
        <v>6620132.3799999999</v>
      </c>
      <c r="K102" s="10">
        <v>46480423.119999997</v>
      </c>
      <c r="L102" s="11">
        <v>109778373.13</v>
      </c>
    </row>
    <row r="103" spans="1:12" x14ac:dyDescent="0.35">
      <c r="A103" s="7">
        <v>43252</v>
      </c>
      <c r="B103" s="11">
        <v>25138803.289999999</v>
      </c>
      <c r="C103" s="9">
        <v>64576.53</v>
      </c>
      <c r="D103" s="10">
        <v>2139709.34</v>
      </c>
      <c r="E103" s="10">
        <v>15655574.550000001</v>
      </c>
      <c r="F103" s="10">
        <v>10324310.84</v>
      </c>
      <c r="G103" s="10">
        <v>1028860.52</v>
      </c>
      <c r="H103" s="10">
        <v>1875931.75</v>
      </c>
      <c r="I103" s="10">
        <v>350892.81</v>
      </c>
      <c r="J103" s="10">
        <v>6407296.8099999996</v>
      </c>
      <c r="K103" s="10">
        <v>48315796.93</v>
      </c>
      <c r="L103" s="11">
        <f t="shared" si="4"/>
        <v>111301753.37</v>
      </c>
    </row>
    <row r="104" spans="1:12" x14ac:dyDescent="0.35">
      <c r="A104" s="7">
        <v>43282</v>
      </c>
      <c r="B104" s="11">
        <v>24310762.850000001</v>
      </c>
      <c r="C104" s="9">
        <v>63838.91</v>
      </c>
      <c r="D104" s="10">
        <v>1227342.6499999999</v>
      </c>
      <c r="E104" s="10">
        <v>15201084.359999999</v>
      </c>
      <c r="F104" s="10">
        <v>9436437.1099999994</v>
      </c>
      <c r="G104" s="10">
        <v>1004090.06</v>
      </c>
      <c r="H104" s="10">
        <v>1919469.34</v>
      </c>
      <c r="I104" s="10">
        <v>514650.73</v>
      </c>
      <c r="J104" s="10">
        <v>5753552.6299999999</v>
      </c>
      <c r="K104" s="10">
        <v>44087478.240000002</v>
      </c>
      <c r="L104" s="11">
        <f t="shared" si="4"/>
        <v>103518706.88</v>
      </c>
    </row>
    <row r="105" spans="1:12" x14ac:dyDescent="0.35">
      <c r="A105" s="7">
        <v>43313</v>
      </c>
      <c r="B105" s="11">
        <v>24831079.949999999</v>
      </c>
      <c r="C105" s="9">
        <v>61007.14</v>
      </c>
      <c r="D105" s="10">
        <v>1239714.43</v>
      </c>
      <c r="E105" s="10">
        <v>15375862.25</v>
      </c>
      <c r="F105" s="10">
        <v>8938903.7799999993</v>
      </c>
      <c r="G105" s="10">
        <v>10854.85</v>
      </c>
      <c r="H105" s="10">
        <v>2213226.65</v>
      </c>
      <c r="I105" s="10">
        <v>592401.68000000005</v>
      </c>
      <c r="J105" s="10">
        <v>5916937.6600000001</v>
      </c>
      <c r="K105" s="10">
        <v>45140074.920000002</v>
      </c>
      <c r="L105" s="11">
        <v>104320063.31</v>
      </c>
    </row>
    <row r="106" spans="1:12" x14ac:dyDescent="0.35">
      <c r="A106" s="7">
        <v>43344</v>
      </c>
      <c r="B106" s="11">
        <v>24369990.789999999</v>
      </c>
      <c r="C106" s="9">
        <v>79621.929999999993</v>
      </c>
      <c r="D106" s="10">
        <v>1571473.26</v>
      </c>
      <c r="E106" s="10">
        <v>15332108.939999999</v>
      </c>
      <c r="F106" s="10">
        <v>8734391.8499999996</v>
      </c>
      <c r="G106" s="10">
        <v>935895.52</v>
      </c>
      <c r="H106" s="10">
        <v>1691058.83</v>
      </c>
      <c r="I106" s="10">
        <v>317693.44</v>
      </c>
      <c r="J106" s="10">
        <v>6197973.8300000001</v>
      </c>
      <c r="K106" s="10">
        <v>45801129.329999998</v>
      </c>
      <c r="L106" s="11">
        <f t="shared" si="4"/>
        <v>105031337.72</v>
      </c>
    </row>
    <row r="107" spans="1:12" x14ac:dyDescent="0.35">
      <c r="A107" s="7">
        <v>43374</v>
      </c>
      <c r="B107" s="11">
        <v>24461597.579999998</v>
      </c>
      <c r="C107" s="9">
        <v>63733.49</v>
      </c>
      <c r="D107" s="10">
        <v>1318533.02</v>
      </c>
      <c r="E107" s="10">
        <v>15919011.17</v>
      </c>
      <c r="F107" s="10">
        <v>7801623.4900000002</v>
      </c>
      <c r="G107" s="10">
        <v>967203.57</v>
      </c>
      <c r="H107" s="10">
        <v>1718451.3</v>
      </c>
      <c r="I107" s="10">
        <v>359452.22</v>
      </c>
      <c r="J107" s="10">
        <v>5651392.2599999998</v>
      </c>
      <c r="K107" s="10">
        <v>46169716.009999998</v>
      </c>
      <c r="L107" s="11">
        <f t="shared" si="4"/>
        <v>104430714.10999998</v>
      </c>
    </row>
    <row r="108" spans="1:12" x14ac:dyDescent="0.35">
      <c r="A108" s="7">
        <v>43405</v>
      </c>
      <c r="B108" s="11">
        <v>30203081.600000001</v>
      </c>
      <c r="C108" s="9">
        <v>49880.7</v>
      </c>
      <c r="D108" s="10">
        <v>1743650.42</v>
      </c>
      <c r="E108" s="10">
        <v>15023369.33</v>
      </c>
      <c r="F108" s="10">
        <v>11256971.35</v>
      </c>
      <c r="G108" s="10">
        <v>870528.45</v>
      </c>
      <c r="H108" s="10">
        <v>1607826.53</v>
      </c>
      <c r="I108" s="10">
        <v>273439.75</v>
      </c>
      <c r="J108" s="10">
        <v>8271828.3499999996</v>
      </c>
      <c r="K108" s="10">
        <v>50573632.909999996</v>
      </c>
      <c r="L108" s="11">
        <f t="shared" si="4"/>
        <v>119874209.39</v>
      </c>
    </row>
    <row r="109" spans="1:12" ht="15" thickBot="1" x14ac:dyDescent="0.4">
      <c r="A109" s="55">
        <v>43435</v>
      </c>
      <c r="B109" s="67">
        <v>34967805.369999997</v>
      </c>
      <c r="C109" s="68">
        <v>62849.66</v>
      </c>
      <c r="D109" s="69">
        <v>2227864.1</v>
      </c>
      <c r="E109" s="69">
        <v>17314811.629999999</v>
      </c>
      <c r="F109" s="69">
        <v>17589253.530000001</v>
      </c>
      <c r="G109" s="69">
        <v>957960.02</v>
      </c>
      <c r="H109" s="69">
        <v>3004659.54</v>
      </c>
      <c r="I109" s="69">
        <v>162570.93</v>
      </c>
      <c r="J109" s="69">
        <v>10704753.279999999</v>
      </c>
      <c r="K109" s="69">
        <v>60666727.5</v>
      </c>
      <c r="L109" s="67">
        <f t="shared" si="4"/>
        <v>147659255.56</v>
      </c>
    </row>
    <row r="110" spans="1:12" x14ac:dyDescent="0.35">
      <c r="A110" s="53">
        <v>43484</v>
      </c>
      <c r="B110" s="70">
        <v>22201829.140000001</v>
      </c>
      <c r="C110" s="71">
        <v>51848.33</v>
      </c>
      <c r="D110" s="72">
        <v>1195238.26</v>
      </c>
      <c r="E110" s="72">
        <v>14802209.33</v>
      </c>
      <c r="F110" s="72">
        <v>7199085.5599999996</v>
      </c>
      <c r="G110" s="72">
        <v>972021.25</v>
      </c>
      <c r="H110" s="72">
        <v>1479807.68</v>
      </c>
      <c r="I110" s="72">
        <v>113355.86</v>
      </c>
      <c r="J110" s="72">
        <v>4723874.42</v>
      </c>
      <c r="K110" s="70">
        <v>42191154.609999999</v>
      </c>
      <c r="L110" s="70">
        <f t="shared" si="4"/>
        <v>94930424.439999998</v>
      </c>
    </row>
    <row r="111" spans="1:12" x14ac:dyDescent="0.35">
      <c r="A111" s="7">
        <v>43515</v>
      </c>
      <c r="B111" s="67">
        <v>22969360.760000002</v>
      </c>
      <c r="C111" s="68">
        <v>63908.98</v>
      </c>
      <c r="D111" s="69">
        <v>1288680.8500000001</v>
      </c>
      <c r="E111" s="69">
        <v>15172538.630000001</v>
      </c>
      <c r="F111" s="69">
        <v>8194054.7999999998</v>
      </c>
      <c r="G111" s="69">
        <v>790774.93</v>
      </c>
      <c r="H111" s="69">
        <v>1701852.25</v>
      </c>
      <c r="I111" s="69">
        <v>278394.84999999998</v>
      </c>
      <c r="J111" s="69">
        <v>5629153.3700000001</v>
      </c>
      <c r="K111" s="67">
        <v>42475387.68</v>
      </c>
      <c r="L111" s="67">
        <v>98564107.099999994</v>
      </c>
    </row>
    <row r="112" spans="1:12" x14ac:dyDescent="0.35">
      <c r="A112" s="7">
        <v>43543</v>
      </c>
      <c r="B112" s="100">
        <v>27604653.559999999</v>
      </c>
      <c r="C112" s="100">
        <v>100767.33</v>
      </c>
      <c r="D112" s="100">
        <v>1665961.97</v>
      </c>
      <c r="E112" s="100">
        <v>27338478.010000002</v>
      </c>
      <c r="F112" s="100">
        <v>9619455.4000000004</v>
      </c>
      <c r="G112" s="100">
        <v>1102683.23</v>
      </c>
      <c r="H112" s="100">
        <v>2463982.06</v>
      </c>
      <c r="I112" s="100">
        <v>533921.92000000004</v>
      </c>
      <c r="J112" s="100">
        <v>6860853.0499999998</v>
      </c>
      <c r="K112" s="100">
        <v>49059239.759999998</v>
      </c>
      <c r="L112" s="100">
        <f t="shared" ref="L112" si="5">SUM(B112:K112)</f>
        <v>126349996.28999999</v>
      </c>
    </row>
    <row r="113" spans="1:12" x14ac:dyDescent="0.35">
      <c r="A113" s="7">
        <v>43574</v>
      </c>
      <c r="B113" s="37">
        <v>22942895.510000002</v>
      </c>
      <c r="C113" s="44">
        <v>71905.22</v>
      </c>
      <c r="D113" s="45">
        <v>1426170.5</v>
      </c>
      <c r="E113" s="45">
        <v>17357442.73</v>
      </c>
      <c r="F113" s="45">
        <v>8761549.6999999993</v>
      </c>
      <c r="G113" s="45">
        <v>1040127.62</v>
      </c>
      <c r="H113" s="45">
        <v>2172781.87</v>
      </c>
      <c r="I113" s="45">
        <v>278707.76</v>
      </c>
      <c r="J113" s="45">
        <v>6193043.4000000004</v>
      </c>
      <c r="K113" s="37">
        <v>46161715.030000001</v>
      </c>
      <c r="L113" s="37">
        <f t="shared" si="4"/>
        <v>106406339.33999999</v>
      </c>
    </row>
    <row r="114" spans="1:12" x14ac:dyDescent="0.35">
      <c r="A114" s="7">
        <v>43604</v>
      </c>
      <c r="B114" s="11">
        <v>22085463.699999999</v>
      </c>
      <c r="C114" s="9">
        <v>53141.62</v>
      </c>
      <c r="D114" s="10">
        <v>1421229.99</v>
      </c>
      <c r="E114" s="10">
        <v>17238380.079999998</v>
      </c>
      <c r="F114" s="10">
        <v>8975331.0800000001</v>
      </c>
      <c r="G114" s="10">
        <v>952027.68</v>
      </c>
      <c r="H114" s="10">
        <v>2135362.79</v>
      </c>
      <c r="I114" s="10">
        <v>558122.49</v>
      </c>
      <c r="J114" s="10">
        <v>6599991.9199999999</v>
      </c>
      <c r="K114" s="11">
        <v>47886360.710000001</v>
      </c>
      <c r="L114" s="11">
        <f t="shared" si="4"/>
        <v>107905412.06</v>
      </c>
    </row>
    <row r="115" spans="1:12" x14ac:dyDescent="0.35">
      <c r="A115" s="7">
        <v>43635</v>
      </c>
      <c r="B115" s="11">
        <v>21594925.140000001</v>
      </c>
      <c r="C115" s="9">
        <v>50806.63</v>
      </c>
      <c r="D115" s="10">
        <v>1612747.13</v>
      </c>
      <c r="E115" s="10">
        <v>16182696.85</v>
      </c>
      <c r="F115" s="10">
        <v>9868372.6899999995</v>
      </c>
      <c r="G115" s="10">
        <v>982514.99</v>
      </c>
      <c r="H115" s="10">
        <v>2035906.86</v>
      </c>
      <c r="I115" s="10">
        <v>319683.46000000002</v>
      </c>
      <c r="J115" s="10">
        <v>6626506.3099999996</v>
      </c>
      <c r="K115" s="11">
        <v>48119876.640000001</v>
      </c>
      <c r="L115" s="11">
        <f t="shared" si="4"/>
        <v>107394036.7</v>
      </c>
    </row>
    <row r="116" spans="1:12" x14ac:dyDescent="0.35">
      <c r="A116" s="7">
        <v>43665</v>
      </c>
      <c r="B116" s="11">
        <v>22658177.100000001</v>
      </c>
      <c r="C116" s="9">
        <v>55574.16</v>
      </c>
      <c r="D116" s="10">
        <v>1095365.6499999999</v>
      </c>
      <c r="E116" s="10">
        <v>17407133.350000001</v>
      </c>
      <c r="F116" s="10">
        <v>8041778.5599999996</v>
      </c>
      <c r="G116" s="10">
        <v>961475.93</v>
      </c>
      <c r="H116" s="10">
        <v>2557150.52</v>
      </c>
      <c r="I116" s="10">
        <v>434546.99</v>
      </c>
      <c r="J116" s="10">
        <v>5589815.6100000003</v>
      </c>
      <c r="K116" s="11">
        <v>45640672.289999999</v>
      </c>
      <c r="L116" s="11">
        <f t="shared" si="4"/>
        <v>104441690.16000001</v>
      </c>
    </row>
    <row r="117" spans="1:12" x14ac:dyDescent="0.35">
      <c r="A117" s="7">
        <v>43696</v>
      </c>
      <c r="B117" s="100">
        <v>27457101.420000002</v>
      </c>
      <c r="C117" s="100">
        <v>40949.94</v>
      </c>
      <c r="D117" s="100">
        <v>1150093.53</v>
      </c>
      <c r="E117" s="100">
        <v>18042412.48</v>
      </c>
      <c r="F117" s="100">
        <v>8554793.1300000008</v>
      </c>
      <c r="G117" s="100">
        <v>916335.65</v>
      </c>
      <c r="H117" s="100">
        <v>2241601.59</v>
      </c>
      <c r="I117" s="100">
        <v>301074.82</v>
      </c>
      <c r="J117" s="100">
        <v>6085565.4000000004</v>
      </c>
      <c r="K117" s="100">
        <v>48654796.659999996</v>
      </c>
      <c r="L117" s="11">
        <f t="shared" si="4"/>
        <v>113444724.62</v>
      </c>
    </row>
    <row r="118" spans="1:12" x14ac:dyDescent="0.35">
      <c r="A118" s="7">
        <v>43727</v>
      </c>
      <c r="B118" s="100">
        <v>25685730.75</v>
      </c>
      <c r="C118" s="100">
        <v>71062.240000000005</v>
      </c>
      <c r="D118" s="100">
        <v>1632151.43</v>
      </c>
      <c r="E118" s="100">
        <v>17392647.469999999</v>
      </c>
      <c r="F118" s="100">
        <v>8611603.3399999999</v>
      </c>
      <c r="G118" s="100">
        <v>952383.56</v>
      </c>
      <c r="H118" s="100">
        <v>2020726.66</v>
      </c>
      <c r="I118" s="100">
        <v>422283.08</v>
      </c>
      <c r="J118" s="100">
        <v>6356008.2300000004</v>
      </c>
      <c r="K118" s="100">
        <v>48669475.869999997</v>
      </c>
      <c r="L118" s="11">
        <f t="shared" si="4"/>
        <v>111814072.63</v>
      </c>
    </row>
    <row r="119" spans="1:12" x14ac:dyDescent="0.35">
      <c r="A119" s="7">
        <v>43757</v>
      </c>
      <c r="B119" s="11">
        <v>23711594.140000001</v>
      </c>
      <c r="C119" s="9">
        <v>38415.300000000003</v>
      </c>
      <c r="D119" s="10">
        <v>1591730.32</v>
      </c>
      <c r="E119" s="10">
        <v>18320747.539999999</v>
      </c>
      <c r="F119" s="10">
        <v>8907678.6699999999</v>
      </c>
      <c r="G119" s="10">
        <v>1050216.94</v>
      </c>
      <c r="H119" s="10">
        <v>1654590.56</v>
      </c>
      <c r="I119" s="10">
        <v>305737</v>
      </c>
      <c r="J119" s="10">
        <v>5777698.6799999997</v>
      </c>
      <c r="K119" s="11">
        <v>50503021.960000001</v>
      </c>
      <c r="L119" s="11">
        <f t="shared" si="4"/>
        <v>111861431.11</v>
      </c>
    </row>
    <row r="120" spans="1:12" x14ac:dyDescent="0.35">
      <c r="A120" s="7">
        <v>43788</v>
      </c>
      <c r="B120" s="11">
        <v>26824909.280000001</v>
      </c>
      <c r="C120" s="9">
        <v>38328.25</v>
      </c>
      <c r="D120" s="10">
        <v>1543405.36</v>
      </c>
      <c r="E120" s="10">
        <v>16411444.720000001</v>
      </c>
      <c r="F120" s="10">
        <v>10756901.640000001</v>
      </c>
      <c r="G120" s="10">
        <v>953586.01</v>
      </c>
      <c r="H120" s="10">
        <v>1667193.8</v>
      </c>
      <c r="I120" s="10">
        <v>148635.25</v>
      </c>
      <c r="J120" s="10">
        <v>8134868.0899999999</v>
      </c>
      <c r="K120" s="11">
        <v>54435801.5</v>
      </c>
      <c r="L120" s="11">
        <f t="shared" si="4"/>
        <v>120915073.89999999</v>
      </c>
    </row>
    <row r="121" spans="1:12" ht="15" thickBot="1" x14ac:dyDescent="0.4">
      <c r="A121" s="15">
        <v>43818</v>
      </c>
      <c r="B121" s="54">
        <v>31109236.82</v>
      </c>
      <c r="C121" s="73">
        <v>56579.92</v>
      </c>
      <c r="D121" s="74">
        <v>2310561.41</v>
      </c>
      <c r="E121" s="74">
        <v>18539014.059999999</v>
      </c>
      <c r="F121" s="74">
        <v>17524852.800000001</v>
      </c>
      <c r="G121" s="74">
        <v>1016968.01</v>
      </c>
      <c r="H121" s="74">
        <v>2708340.38</v>
      </c>
      <c r="I121" s="74">
        <v>125575.45</v>
      </c>
      <c r="J121" s="74">
        <v>11722278.1</v>
      </c>
      <c r="K121" s="54">
        <v>64544530.609999999</v>
      </c>
      <c r="L121" s="54">
        <f t="shared" si="4"/>
        <v>149657937.56</v>
      </c>
    </row>
    <row r="122" spans="1:12" x14ac:dyDescent="0.35">
      <c r="A122" s="53">
        <v>43849</v>
      </c>
      <c r="B122" s="70">
        <v>21044116.809999999</v>
      </c>
      <c r="C122" s="70">
        <v>40484.74</v>
      </c>
      <c r="D122" s="70">
        <v>1174764.33</v>
      </c>
      <c r="E122" s="70">
        <v>16432659.32</v>
      </c>
      <c r="F122" s="70">
        <v>6997037.79</v>
      </c>
      <c r="G122" s="70">
        <v>912936.81</v>
      </c>
      <c r="H122" s="70">
        <v>1514402.6</v>
      </c>
      <c r="I122" s="70">
        <v>128340.23</v>
      </c>
      <c r="J122" s="70">
        <v>5017012.84</v>
      </c>
      <c r="K122" s="70">
        <v>42657838.520000003</v>
      </c>
      <c r="L122" s="70">
        <f>SUM(B122:K122)</f>
        <v>95919593.99000001</v>
      </c>
    </row>
    <row r="123" spans="1:12" x14ac:dyDescent="0.35">
      <c r="A123" s="7">
        <v>43880</v>
      </c>
      <c r="B123" s="11">
        <v>22100596.010000002</v>
      </c>
      <c r="C123" s="11">
        <v>38900.32</v>
      </c>
      <c r="D123" s="11">
        <v>1152285.08</v>
      </c>
      <c r="E123" s="11">
        <v>13922353.779999999</v>
      </c>
      <c r="F123" s="11">
        <v>7367582.2199999997</v>
      </c>
      <c r="G123" s="11">
        <v>879929.43</v>
      </c>
      <c r="H123" s="11">
        <v>1747660.56</v>
      </c>
      <c r="I123" s="11">
        <v>199048.5</v>
      </c>
      <c r="J123" s="11">
        <v>5985752.1299999999</v>
      </c>
      <c r="K123" s="11">
        <v>43970838.899999999</v>
      </c>
      <c r="L123" s="11">
        <f>SUM(B123:K123)</f>
        <v>97364946.930000007</v>
      </c>
    </row>
    <row r="124" spans="1:12" x14ac:dyDescent="0.35">
      <c r="A124" s="7">
        <v>43909</v>
      </c>
      <c r="B124" s="11">
        <v>24202940.059999999</v>
      </c>
      <c r="C124" s="11">
        <v>47667.94</v>
      </c>
      <c r="D124" s="11">
        <v>1562311.46</v>
      </c>
      <c r="E124" s="11">
        <v>15962910.810000001</v>
      </c>
      <c r="F124" s="11">
        <v>6826982.0599999996</v>
      </c>
      <c r="G124" s="11">
        <v>1177015.8899999999</v>
      </c>
      <c r="H124" s="11">
        <v>2276003.23</v>
      </c>
      <c r="I124" s="11">
        <v>260419.56</v>
      </c>
      <c r="J124" s="11">
        <v>6382168.5300000003</v>
      </c>
      <c r="K124" s="11">
        <v>48180804.049999997</v>
      </c>
      <c r="L124" s="11">
        <f>SUM(B124:K124)</f>
        <v>106879223.59</v>
      </c>
    </row>
    <row r="125" spans="1:12" x14ac:dyDescent="0.35">
      <c r="A125" s="7">
        <v>43940</v>
      </c>
      <c r="B125" s="11">
        <v>22169360.190000001</v>
      </c>
      <c r="C125" s="11">
        <v>24298.61</v>
      </c>
      <c r="D125" s="11">
        <v>942707.85</v>
      </c>
      <c r="E125" s="11">
        <v>12578589.33</v>
      </c>
      <c r="F125" s="11">
        <v>4873909.04</v>
      </c>
      <c r="G125" s="11">
        <v>1099027.8600000001</v>
      </c>
      <c r="H125" s="11">
        <v>2094341.18</v>
      </c>
      <c r="I125" s="11">
        <v>645877.35</v>
      </c>
      <c r="J125" s="11">
        <v>5184294.8600000003</v>
      </c>
      <c r="K125" s="11">
        <v>34055742.920000002</v>
      </c>
      <c r="L125" s="11">
        <f t="shared" si="4"/>
        <v>83668149.189999998</v>
      </c>
    </row>
    <row r="126" spans="1:12" x14ac:dyDescent="0.35">
      <c r="A126" s="7">
        <v>43970</v>
      </c>
      <c r="B126" s="11">
        <v>28349519.23</v>
      </c>
      <c r="C126" s="11">
        <v>45578.83</v>
      </c>
      <c r="D126" s="11">
        <v>1215749.03</v>
      </c>
      <c r="E126" s="11">
        <v>16785889.93</v>
      </c>
      <c r="F126" s="11">
        <v>8580821.1799999997</v>
      </c>
      <c r="G126" s="11">
        <v>1115019.05</v>
      </c>
      <c r="H126" s="11">
        <v>2496126.14</v>
      </c>
      <c r="I126" s="11">
        <v>408866.9</v>
      </c>
      <c r="J126" s="11">
        <v>6324352.8099999996</v>
      </c>
      <c r="K126" s="11">
        <v>44786268.009999998</v>
      </c>
      <c r="L126" s="11">
        <f t="shared" si="4"/>
        <v>110108191.10999998</v>
      </c>
    </row>
    <row r="127" spans="1:12" x14ac:dyDescent="0.35">
      <c r="A127" s="7">
        <v>44001</v>
      </c>
      <c r="B127" s="11">
        <v>26363685.059999999</v>
      </c>
      <c r="C127" s="11">
        <v>55700.160000000003</v>
      </c>
      <c r="D127" s="11">
        <v>1864001.87</v>
      </c>
      <c r="E127" s="11">
        <v>16095792.24</v>
      </c>
      <c r="F127" s="11">
        <v>11218393.699999999</v>
      </c>
      <c r="G127" s="11">
        <v>1273508.58</v>
      </c>
      <c r="H127" s="11">
        <v>2512044.62</v>
      </c>
      <c r="I127" s="11">
        <v>407888.11</v>
      </c>
      <c r="J127" s="11">
        <v>7578314.7699999996</v>
      </c>
      <c r="K127" s="11">
        <v>52418252.590000004</v>
      </c>
      <c r="L127" s="11">
        <f t="shared" si="4"/>
        <v>119787581.7</v>
      </c>
    </row>
    <row r="128" spans="1:12" x14ac:dyDescent="0.35">
      <c r="A128" s="7">
        <v>44031</v>
      </c>
      <c r="B128" s="11">
        <v>24248778.109999999</v>
      </c>
      <c r="C128" s="11">
        <v>43184.81</v>
      </c>
      <c r="D128" s="11">
        <v>1073602.82</v>
      </c>
      <c r="E128" s="11">
        <v>16827208.609999999</v>
      </c>
      <c r="F128" s="11">
        <v>8578726.8200000003</v>
      </c>
      <c r="G128" s="11">
        <v>1191479.3999999999</v>
      </c>
      <c r="H128" s="11">
        <v>2382639.0499999998</v>
      </c>
      <c r="I128" s="11">
        <v>444953.15</v>
      </c>
      <c r="J128" s="11">
        <v>6561034.6399999997</v>
      </c>
      <c r="K128" s="11">
        <v>48220698.359999999</v>
      </c>
      <c r="L128" s="11">
        <f t="shared" si="4"/>
        <v>109572305.76999998</v>
      </c>
    </row>
    <row r="129" spans="1:12" x14ac:dyDescent="0.35">
      <c r="A129" s="7">
        <v>44062</v>
      </c>
      <c r="B129" s="11">
        <v>22977208.809999999</v>
      </c>
      <c r="C129" s="11">
        <v>50426</v>
      </c>
      <c r="D129" s="11">
        <v>954870.16</v>
      </c>
      <c r="E129" s="11">
        <v>15922627.4</v>
      </c>
      <c r="F129" s="11">
        <v>7585364.0700000003</v>
      </c>
      <c r="G129" s="11">
        <v>1020191.85</v>
      </c>
      <c r="H129" s="11">
        <v>3539157.03</v>
      </c>
      <c r="I129" s="11">
        <v>282589.95</v>
      </c>
      <c r="J129" s="11">
        <v>6339224.5899999999</v>
      </c>
      <c r="K129" s="11">
        <v>42459914.030000001</v>
      </c>
      <c r="L129" s="11">
        <f t="shared" si="4"/>
        <v>101131573.89</v>
      </c>
    </row>
    <row r="130" spans="1:12" x14ac:dyDescent="0.35">
      <c r="A130" s="7">
        <v>44093</v>
      </c>
      <c r="B130" s="11">
        <v>28958986.300000001</v>
      </c>
      <c r="C130" s="11">
        <v>206531.72</v>
      </c>
      <c r="D130" s="11">
        <v>1331445.71</v>
      </c>
      <c r="E130" s="11">
        <v>16554242.93</v>
      </c>
      <c r="F130" s="11">
        <v>11206343.300000001</v>
      </c>
      <c r="G130" s="11">
        <v>1393136.28</v>
      </c>
      <c r="H130" s="11">
        <v>2804436.02</v>
      </c>
      <c r="I130" s="11">
        <v>366385.6</v>
      </c>
      <c r="J130" s="11">
        <v>7548013.3200000003</v>
      </c>
      <c r="K130" s="11">
        <v>56160274.25</v>
      </c>
      <c r="L130" s="11">
        <f t="shared" si="4"/>
        <v>126529795.43000001</v>
      </c>
    </row>
    <row r="131" spans="1:12" x14ac:dyDescent="0.35">
      <c r="A131" s="7">
        <v>44123</v>
      </c>
      <c r="B131" s="11">
        <v>27977081.190000001</v>
      </c>
      <c r="C131" s="11">
        <v>53618.031999999999</v>
      </c>
      <c r="D131" s="11">
        <v>1107282.98</v>
      </c>
      <c r="E131" s="11">
        <v>16502914.119999999</v>
      </c>
      <c r="F131" s="11">
        <v>7574410</v>
      </c>
      <c r="G131" s="11">
        <v>790514.93</v>
      </c>
      <c r="H131" s="11">
        <v>2725418.91</v>
      </c>
      <c r="I131" s="11">
        <v>309152.75</v>
      </c>
      <c r="J131" s="11">
        <v>5943007.7199999997</v>
      </c>
      <c r="K131" s="11">
        <v>57338747.710000001</v>
      </c>
      <c r="L131" s="11">
        <f t="shared" ref="L131:L136" si="6">SUM(B131:K131)</f>
        <v>120322148.34200001</v>
      </c>
    </row>
    <row r="132" spans="1:12" x14ac:dyDescent="0.35">
      <c r="A132" s="7">
        <v>44154</v>
      </c>
      <c r="B132" s="11">
        <v>27601584.350000001</v>
      </c>
      <c r="C132" s="11">
        <v>42485.98</v>
      </c>
      <c r="D132" s="11">
        <v>1212580.98</v>
      </c>
      <c r="E132" s="11">
        <v>16228680.32</v>
      </c>
      <c r="F132" s="11">
        <v>10780660.75</v>
      </c>
      <c r="G132" s="11">
        <v>727024.81</v>
      </c>
      <c r="H132" s="11">
        <v>1926544.8</v>
      </c>
      <c r="I132" s="11">
        <v>272238.25</v>
      </c>
      <c r="J132" s="11">
        <v>7983885.5199999996</v>
      </c>
      <c r="K132" s="11">
        <v>48845713.649999999</v>
      </c>
      <c r="L132" s="11">
        <f t="shared" si="6"/>
        <v>115621399.41</v>
      </c>
    </row>
    <row r="133" spans="1:12" ht="15" thickBot="1" x14ac:dyDescent="0.4">
      <c r="A133" s="15">
        <v>44184</v>
      </c>
      <c r="B133" s="54">
        <v>34041906.420000002</v>
      </c>
      <c r="C133" s="54">
        <v>65543.509999999995</v>
      </c>
      <c r="D133" s="54">
        <v>1700861.67</v>
      </c>
      <c r="E133" s="54">
        <v>18148020.780000001</v>
      </c>
      <c r="F133" s="54">
        <v>19554252.710000001</v>
      </c>
      <c r="G133" s="54">
        <v>887948.49</v>
      </c>
      <c r="H133" s="54">
        <v>3127700.94</v>
      </c>
      <c r="I133" s="54">
        <v>178627.01</v>
      </c>
      <c r="J133" s="54">
        <v>11589294.460000001</v>
      </c>
      <c r="K133" s="54">
        <v>66332881.939999998</v>
      </c>
      <c r="L133" s="54">
        <f t="shared" si="6"/>
        <v>155627037.93000001</v>
      </c>
    </row>
    <row r="134" spans="1:12" x14ac:dyDescent="0.35">
      <c r="A134" s="53">
        <v>44215</v>
      </c>
      <c r="B134" s="70">
        <v>24515221.050000001</v>
      </c>
      <c r="C134" s="70">
        <v>-141311.59</v>
      </c>
      <c r="D134" s="70">
        <v>810191.11</v>
      </c>
      <c r="E134" s="70">
        <v>10520744.6</v>
      </c>
      <c r="F134" s="70">
        <v>7423744.5800000001</v>
      </c>
      <c r="G134" s="70">
        <v>711142.46</v>
      </c>
      <c r="H134" s="70">
        <v>1566540.76</v>
      </c>
      <c r="I134" s="70">
        <v>189371.59</v>
      </c>
      <c r="J134" s="70">
        <v>5585252.2699999996</v>
      </c>
      <c r="K134" s="70">
        <f>3714733+41598132.36</f>
        <v>45312865.359999999</v>
      </c>
      <c r="L134" s="70">
        <f t="shared" si="6"/>
        <v>96493762.189999998</v>
      </c>
    </row>
    <row r="135" spans="1:12" x14ac:dyDescent="0.35">
      <c r="A135" s="7">
        <v>44246</v>
      </c>
      <c r="B135" s="11">
        <v>21770434.239999998</v>
      </c>
      <c r="C135" s="11">
        <v>57463.93</v>
      </c>
      <c r="D135" s="11">
        <v>935509.04</v>
      </c>
      <c r="E135" s="11">
        <v>18835285.68</v>
      </c>
      <c r="F135" s="11">
        <v>8265411.8099999996</v>
      </c>
      <c r="G135" s="11">
        <v>726912.14</v>
      </c>
      <c r="H135" s="11">
        <v>1743251.08</v>
      </c>
      <c r="I135" s="11">
        <v>327565.11</v>
      </c>
      <c r="J135" s="11">
        <v>5801641.8200000003</v>
      </c>
      <c r="K135" s="11">
        <v>45165348.649999999</v>
      </c>
      <c r="L135" s="11">
        <f t="shared" si="6"/>
        <v>103628823.5</v>
      </c>
    </row>
    <row r="136" spans="1:12" x14ac:dyDescent="0.35">
      <c r="A136" s="7">
        <v>44274</v>
      </c>
      <c r="B136" s="11">
        <v>30744146.07</v>
      </c>
      <c r="C136" s="11">
        <v>80564.23</v>
      </c>
      <c r="D136" s="11">
        <v>1316279.3999999999</v>
      </c>
      <c r="E136" s="11">
        <v>16931200.879999999</v>
      </c>
      <c r="F136" s="11">
        <v>12937797.34</v>
      </c>
      <c r="G136" s="11">
        <v>1274559.1299999999</v>
      </c>
      <c r="H136" s="11">
        <v>3068945.52</v>
      </c>
      <c r="I136" s="11">
        <v>575787.04</v>
      </c>
      <c r="J136" s="11">
        <v>8718120.3900000006</v>
      </c>
      <c r="K136" s="11">
        <v>62189851</v>
      </c>
      <c r="L136" s="11">
        <f t="shared" si="6"/>
        <v>137837251</v>
      </c>
    </row>
    <row r="137" spans="1:12" x14ac:dyDescent="0.35">
      <c r="A137" s="7">
        <v>44305</v>
      </c>
      <c r="B137" s="11">
        <v>25087420.239999998</v>
      </c>
      <c r="C137" s="11">
        <v>85052.47</v>
      </c>
      <c r="D137" s="11">
        <v>1023073.83</v>
      </c>
      <c r="E137" s="11">
        <v>18603173.460000001</v>
      </c>
      <c r="F137" s="11">
        <v>10582698.42</v>
      </c>
      <c r="G137" s="11">
        <v>991799.2</v>
      </c>
      <c r="H137" s="11">
        <v>2774600.43</v>
      </c>
      <c r="I137" s="11">
        <v>774705.27</v>
      </c>
      <c r="J137" s="11">
        <v>6608543.6699999999</v>
      </c>
      <c r="K137" s="11">
        <v>56192638.969999999</v>
      </c>
      <c r="L137" s="11">
        <f t="shared" ref="L137:L142" si="7">SUM(B137:K137)</f>
        <v>122723705.96000001</v>
      </c>
    </row>
    <row r="138" spans="1:12" x14ac:dyDescent="0.35">
      <c r="A138" s="7">
        <v>44335</v>
      </c>
      <c r="B138" s="11">
        <v>25674554.890000001</v>
      </c>
      <c r="C138" s="11">
        <v>97695</v>
      </c>
      <c r="D138" s="11">
        <v>1041683.01</v>
      </c>
      <c r="E138" s="11">
        <v>15085100.050000001</v>
      </c>
      <c r="F138" s="11">
        <v>10723232.859999999</v>
      </c>
      <c r="G138" s="11">
        <v>3407341.42</v>
      </c>
      <c r="H138" s="11">
        <v>2412068.75</v>
      </c>
      <c r="I138" s="11">
        <v>594199.29</v>
      </c>
      <c r="J138" s="11">
        <v>7013864.8899999997</v>
      </c>
      <c r="K138" s="11">
        <v>54227864.659999996</v>
      </c>
      <c r="L138" s="11">
        <v>120277604.81999999</v>
      </c>
    </row>
    <row r="139" spans="1:12" x14ac:dyDescent="0.35">
      <c r="A139" s="7">
        <v>44366</v>
      </c>
      <c r="B139" s="11">
        <v>26842482.07</v>
      </c>
      <c r="C139" s="11">
        <v>102797.46</v>
      </c>
      <c r="D139" s="11">
        <v>1075505.3</v>
      </c>
      <c r="E139" s="11">
        <v>16160254.720000001</v>
      </c>
      <c r="F139" s="11">
        <v>12479618.890000001</v>
      </c>
      <c r="G139" s="11">
        <v>1341785.68</v>
      </c>
      <c r="H139" s="11">
        <v>2631246.13</v>
      </c>
      <c r="I139" s="11">
        <v>452207.41</v>
      </c>
      <c r="J139" s="11">
        <v>7647294.2699999996</v>
      </c>
      <c r="K139" s="11">
        <v>63394880.93</v>
      </c>
      <c r="L139" s="11">
        <f t="shared" si="7"/>
        <v>132128072.86000001</v>
      </c>
    </row>
    <row r="140" spans="1:12" x14ac:dyDescent="0.35">
      <c r="A140" s="7">
        <v>44396</v>
      </c>
      <c r="B140" s="11">
        <v>25430878.649999999</v>
      </c>
      <c r="C140" s="11">
        <v>73149</v>
      </c>
      <c r="D140" s="11">
        <v>1006033.36</v>
      </c>
      <c r="E140" s="11">
        <v>15259267.710000001</v>
      </c>
      <c r="F140" s="11">
        <v>9932353.0399999991</v>
      </c>
      <c r="G140" s="11">
        <v>1237621.02</v>
      </c>
      <c r="H140" s="11">
        <v>2517510.7599999998</v>
      </c>
      <c r="I140" s="11">
        <v>821295.5</v>
      </c>
      <c r="J140" s="11">
        <v>6467488.7699999996</v>
      </c>
      <c r="K140" s="11">
        <v>55113475.140000001</v>
      </c>
      <c r="L140" s="11">
        <f t="shared" si="7"/>
        <v>117859072.95</v>
      </c>
    </row>
    <row r="141" spans="1:12" x14ac:dyDescent="0.35">
      <c r="A141" s="7">
        <v>44427</v>
      </c>
      <c r="B141" s="11">
        <v>24918673.25</v>
      </c>
      <c r="C141" s="11">
        <v>81623.5</v>
      </c>
      <c r="D141" s="11">
        <v>908143.4</v>
      </c>
      <c r="E141" s="11">
        <v>16145335.359999999</v>
      </c>
      <c r="F141" s="11">
        <v>9196033.4299999997</v>
      </c>
      <c r="G141" s="11">
        <v>1160517.96</v>
      </c>
      <c r="H141" s="11">
        <v>3535472.01</v>
      </c>
      <c r="I141" s="11">
        <v>531217.96</v>
      </c>
      <c r="J141" s="11">
        <v>6667652.21</v>
      </c>
      <c r="K141" s="11">
        <v>50618480.149999999</v>
      </c>
      <c r="L141" s="11">
        <f t="shared" si="7"/>
        <v>113763149.22999999</v>
      </c>
    </row>
    <row r="142" spans="1:12" x14ac:dyDescent="0.35">
      <c r="A142" s="7">
        <v>44458</v>
      </c>
      <c r="B142" s="11">
        <v>25607107.370000001</v>
      </c>
      <c r="C142" s="11">
        <v>88851.79</v>
      </c>
      <c r="D142" s="11">
        <v>1328005.27</v>
      </c>
      <c r="E142" s="11">
        <v>16434898.380000001</v>
      </c>
      <c r="F142" s="11">
        <v>10947839.01</v>
      </c>
      <c r="G142" s="11">
        <v>1357453.47</v>
      </c>
      <c r="H142" s="11">
        <v>2621064.29</v>
      </c>
      <c r="I142" s="11">
        <v>453951.49</v>
      </c>
      <c r="J142" s="11">
        <v>7411856.79</v>
      </c>
      <c r="K142" s="11">
        <v>54013151.32</v>
      </c>
      <c r="L142" s="11">
        <f t="shared" si="7"/>
        <v>120264179.18000001</v>
      </c>
    </row>
    <row r="143" spans="1:12" x14ac:dyDescent="0.35">
      <c r="A143" s="7">
        <v>44488</v>
      </c>
      <c r="B143" s="11">
        <v>24029556.170000002</v>
      </c>
      <c r="C143" s="11">
        <v>86359.74</v>
      </c>
      <c r="D143" s="11">
        <v>1864132.75</v>
      </c>
      <c r="E143" s="11">
        <v>15766486.41</v>
      </c>
      <c r="F143" s="11">
        <v>10840962.73</v>
      </c>
      <c r="G143" s="11">
        <v>1258045.18</v>
      </c>
      <c r="H143" s="11">
        <v>2101447.63</v>
      </c>
      <c r="I143" s="11">
        <v>621602.14</v>
      </c>
      <c r="J143" s="11">
        <v>6518517.0499999998</v>
      </c>
      <c r="K143" s="11">
        <v>57732731.5</v>
      </c>
      <c r="L143" s="11">
        <f>SUM(B143:K143)</f>
        <v>120819841.3</v>
      </c>
    </row>
    <row r="144" spans="1:12" x14ac:dyDescent="0.35">
      <c r="A144" s="7">
        <v>44519</v>
      </c>
      <c r="B144" s="11">
        <v>28815036.629999999</v>
      </c>
      <c r="C144" s="11">
        <v>71752.39</v>
      </c>
      <c r="D144" s="11">
        <v>1337644.5900000001</v>
      </c>
      <c r="E144" s="11">
        <v>15829963.949999999</v>
      </c>
      <c r="F144" s="11">
        <v>12950911.140000001</v>
      </c>
      <c r="G144" s="11">
        <v>1170064.3500000001</v>
      </c>
      <c r="H144" s="11">
        <v>2268152.21</v>
      </c>
      <c r="I144" s="11">
        <v>497934.56</v>
      </c>
      <c r="J144" s="11">
        <v>8287716.8700000001</v>
      </c>
      <c r="K144" s="11">
        <v>58878946.170000002</v>
      </c>
      <c r="L144" s="11">
        <f>SUM(B144:K144)</f>
        <v>130108122.86000001</v>
      </c>
    </row>
    <row r="145" spans="1:12" ht="15" thickBot="1" x14ac:dyDescent="0.4">
      <c r="A145" s="15">
        <v>44549</v>
      </c>
      <c r="B145" s="54">
        <v>34237811.25</v>
      </c>
      <c r="C145" s="54">
        <v>144254.20000000001</v>
      </c>
      <c r="D145" s="54">
        <v>1856668.84</v>
      </c>
      <c r="E145" s="54">
        <v>18443587.239999998</v>
      </c>
      <c r="F145" s="54">
        <v>20953700.510000002</v>
      </c>
      <c r="G145" s="54">
        <v>1398425.03</v>
      </c>
      <c r="H145" s="54">
        <v>3362946.08</v>
      </c>
      <c r="I145" s="54">
        <v>518502.7</v>
      </c>
      <c r="J145" s="54">
        <v>12191782.82</v>
      </c>
      <c r="K145" s="54">
        <v>85102246.879999995</v>
      </c>
      <c r="L145" s="54">
        <f>SUM(B145:K145)</f>
        <v>178209925.55000001</v>
      </c>
    </row>
    <row r="146" spans="1:12" x14ac:dyDescent="0.35">
      <c r="A146" s="53">
        <v>44583</v>
      </c>
      <c r="B146" s="70">
        <v>22050820.059999999</v>
      </c>
      <c r="C146" s="70">
        <v>95926.43</v>
      </c>
      <c r="D146" s="70">
        <v>957963.71</v>
      </c>
      <c r="E146" s="70">
        <v>15435267.810000001</v>
      </c>
      <c r="F146" s="70">
        <v>7820534.5</v>
      </c>
      <c r="G146" s="70">
        <v>1022987.82</v>
      </c>
      <c r="H146" s="70">
        <v>1778867.55</v>
      </c>
      <c r="I146" s="70">
        <v>510482.54</v>
      </c>
      <c r="J146" s="70">
        <v>5683352.1399999997</v>
      </c>
      <c r="K146" s="70">
        <v>46389504.490000002</v>
      </c>
      <c r="L146" s="70">
        <f t="shared" ref="L146:L150" si="8">SUM(B146:K146)</f>
        <v>101745707.05</v>
      </c>
    </row>
    <row r="147" spans="1:12" x14ac:dyDescent="0.35">
      <c r="A147" s="7">
        <v>44614</v>
      </c>
      <c r="B147" s="11">
        <v>22245835.510000002</v>
      </c>
      <c r="C147" s="11">
        <v>102660.47</v>
      </c>
      <c r="D147" s="11">
        <v>903804.39</v>
      </c>
      <c r="E147" s="11">
        <v>14742071.109999999</v>
      </c>
      <c r="F147" s="11">
        <v>7433562.0099999998</v>
      </c>
      <c r="G147" s="11">
        <v>1067872.0900000001</v>
      </c>
      <c r="H147" s="11">
        <v>1952452.01</v>
      </c>
      <c r="I147" s="11">
        <v>728725.95</v>
      </c>
      <c r="J147" s="11">
        <v>6181037.8799999999</v>
      </c>
      <c r="K147" s="11">
        <v>48170892.850000001</v>
      </c>
      <c r="L147" s="11">
        <f t="shared" si="8"/>
        <v>103528914.27000001</v>
      </c>
    </row>
    <row r="148" spans="1:12" x14ac:dyDescent="0.35">
      <c r="A148" s="7">
        <v>44642</v>
      </c>
      <c r="B148" s="11">
        <v>27195377.75</v>
      </c>
      <c r="C148" s="11">
        <v>133320.65</v>
      </c>
      <c r="D148" s="11">
        <v>1059599.31</v>
      </c>
      <c r="E148" s="11">
        <v>13577722.880000001</v>
      </c>
      <c r="F148" s="11">
        <v>10559890.93</v>
      </c>
      <c r="G148" s="11">
        <v>1704535.6</v>
      </c>
      <c r="H148" s="11">
        <v>2985693.65</v>
      </c>
      <c r="I148" s="11">
        <v>1359613.5</v>
      </c>
      <c r="J148" s="11">
        <v>7991583.4900000002</v>
      </c>
      <c r="K148" s="11">
        <v>60975579.859999999</v>
      </c>
      <c r="L148" s="11">
        <f t="shared" si="8"/>
        <v>127542917.62</v>
      </c>
    </row>
    <row r="149" spans="1:12" x14ac:dyDescent="0.35">
      <c r="A149" s="7">
        <v>44673</v>
      </c>
      <c r="B149" s="11">
        <v>24845820</v>
      </c>
      <c r="C149" s="11">
        <v>73659</v>
      </c>
      <c r="D149" s="11">
        <v>1068855</v>
      </c>
      <c r="E149" s="11">
        <v>15423671</v>
      </c>
      <c r="F149" s="11">
        <v>9722425</v>
      </c>
      <c r="G149" s="11">
        <v>1191842</v>
      </c>
      <c r="H149" s="11">
        <v>2957999</v>
      </c>
      <c r="I149" s="11">
        <v>1272169</v>
      </c>
      <c r="J149" s="11">
        <v>6549103</v>
      </c>
      <c r="K149" s="11">
        <v>55455558</v>
      </c>
      <c r="L149" s="11">
        <f t="shared" si="8"/>
        <v>118561101</v>
      </c>
    </row>
    <row r="150" spans="1:12" x14ac:dyDescent="0.35">
      <c r="A150" s="7">
        <v>44703</v>
      </c>
      <c r="B150" s="11">
        <v>24718306</v>
      </c>
      <c r="C150" s="11">
        <v>106081.76</v>
      </c>
      <c r="D150" s="11">
        <v>993264.66</v>
      </c>
      <c r="E150" s="11">
        <v>14806158</v>
      </c>
      <c r="F150" s="11">
        <v>10230069</v>
      </c>
      <c r="G150" s="11">
        <v>1108648.48</v>
      </c>
      <c r="H150" s="11">
        <v>2503544.0499999998</v>
      </c>
      <c r="I150" s="11">
        <v>517448.97</v>
      </c>
      <c r="J150" s="11">
        <v>6816641.3300000001</v>
      </c>
      <c r="K150" s="11">
        <v>52995184</v>
      </c>
      <c r="L150" s="11">
        <f t="shared" si="8"/>
        <v>114795346.25</v>
      </c>
    </row>
    <row r="151" spans="1:12" x14ac:dyDescent="0.35">
      <c r="A151" s="7">
        <v>44734</v>
      </c>
      <c r="B151" s="11">
        <v>25503513</v>
      </c>
      <c r="C151" s="11">
        <v>103998</v>
      </c>
      <c r="D151" s="11">
        <v>1040413</v>
      </c>
      <c r="E151" s="11">
        <v>15564403</v>
      </c>
      <c r="F151" s="11">
        <v>11724483</v>
      </c>
      <c r="G151" s="11">
        <v>1577155</v>
      </c>
      <c r="H151" s="11">
        <v>2863688</v>
      </c>
      <c r="I151" s="11">
        <v>833611</v>
      </c>
      <c r="J151" s="11">
        <v>7640647</v>
      </c>
      <c r="K151" s="11">
        <v>55915253</v>
      </c>
      <c r="L151" s="11">
        <f t="shared" ref="L151:L154" si="9">SUM(B151:K151)</f>
        <v>122767164</v>
      </c>
    </row>
    <row r="152" spans="1:12" x14ac:dyDescent="0.35">
      <c r="A152" s="7">
        <v>44764</v>
      </c>
      <c r="B152" s="11">
        <v>24555166</v>
      </c>
      <c r="C152" s="11">
        <v>89414</v>
      </c>
      <c r="D152" s="11">
        <v>848422</v>
      </c>
      <c r="E152" s="11">
        <v>16519968</v>
      </c>
      <c r="F152" s="11">
        <v>9175356</v>
      </c>
      <c r="G152" s="11">
        <v>795116</v>
      </c>
      <c r="H152" s="11">
        <v>2609119</v>
      </c>
      <c r="I152" s="11">
        <v>851636</v>
      </c>
      <c r="J152" s="11">
        <v>6280815</v>
      </c>
      <c r="K152" s="11">
        <v>51193862</v>
      </c>
      <c r="L152" s="11">
        <f t="shared" si="9"/>
        <v>112918874</v>
      </c>
    </row>
    <row r="153" spans="1:12" x14ac:dyDescent="0.35">
      <c r="A153" s="7">
        <v>44795</v>
      </c>
      <c r="B153" s="11">
        <v>25914946</v>
      </c>
      <c r="C153" s="11">
        <v>82389</v>
      </c>
      <c r="D153" s="11">
        <v>972984</v>
      </c>
      <c r="E153" s="11">
        <v>15173377</v>
      </c>
      <c r="F153" s="11">
        <v>9361447</v>
      </c>
      <c r="G153" s="11">
        <v>1336863</v>
      </c>
      <c r="H153" s="11">
        <v>2971385</v>
      </c>
      <c r="I153" s="11">
        <v>950320</v>
      </c>
      <c r="J153" s="11">
        <v>6284285</v>
      </c>
      <c r="K153" s="11">
        <v>54163233</v>
      </c>
      <c r="L153" s="11">
        <f t="shared" si="9"/>
        <v>117211229</v>
      </c>
    </row>
    <row r="154" spans="1:12" x14ac:dyDescent="0.35">
      <c r="A154" s="7">
        <v>44826</v>
      </c>
      <c r="B154" s="11">
        <v>24714369.98</v>
      </c>
      <c r="C154" s="11">
        <v>103260.75</v>
      </c>
      <c r="D154" s="11">
        <v>1268892.3600000001</v>
      </c>
      <c r="E154" s="11">
        <v>15691303.16</v>
      </c>
      <c r="F154" s="11">
        <v>9999840.9800000004</v>
      </c>
      <c r="G154" s="11">
        <v>1655895.11</v>
      </c>
      <c r="H154" s="11">
        <v>2604804.91</v>
      </c>
      <c r="I154" s="11">
        <v>1267932.25</v>
      </c>
      <c r="J154" s="11">
        <v>7038729.4500000002</v>
      </c>
      <c r="K154" s="11">
        <v>53097817.909999996</v>
      </c>
      <c r="L154" s="11">
        <f t="shared" si="9"/>
        <v>117442846.86</v>
      </c>
    </row>
    <row r="155" spans="1:12" x14ac:dyDescent="0.35">
      <c r="A155" s="7">
        <v>44856</v>
      </c>
      <c r="B155" s="11">
        <v>24947002</v>
      </c>
      <c r="C155" s="11">
        <v>72641</v>
      </c>
      <c r="D155" s="11">
        <v>1236320</v>
      </c>
      <c r="E155" s="11">
        <v>15821653</v>
      </c>
      <c r="F155" s="11">
        <v>8832670</v>
      </c>
      <c r="G155" s="11">
        <v>1188200</v>
      </c>
      <c r="H155" s="11">
        <v>2345414</v>
      </c>
      <c r="I155" s="11">
        <v>818720</v>
      </c>
      <c r="J155" s="11">
        <v>6049956</v>
      </c>
      <c r="K155" s="11">
        <v>56591581</v>
      </c>
      <c r="L155" s="11">
        <f>SUM(B155:K155)</f>
        <v>117904157</v>
      </c>
    </row>
    <row r="156" spans="1:12" x14ac:dyDescent="0.35">
      <c r="A156" s="7">
        <v>44887</v>
      </c>
      <c r="B156" s="11">
        <v>28390648</v>
      </c>
      <c r="C156" s="11">
        <v>92742</v>
      </c>
      <c r="D156" s="11">
        <v>1276927</v>
      </c>
      <c r="E156" s="11">
        <v>15777911</v>
      </c>
      <c r="F156" s="11">
        <v>11629095</v>
      </c>
      <c r="G156" s="11">
        <v>1112715</v>
      </c>
      <c r="H156" s="11">
        <v>2192192</v>
      </c>
      <c r="I156" s="11">
        <v>836931</v>
      </c>
      <c r="J156" s="11">
        <v>7540677</v>
      </c>
      <c r="K156" s="11">
        <v>58774930</v>
      </c>
      <c r="L156" s="11">
        <f>SUM(B156:K156)</f>
        <v>127624768</v>
      </c>
    </row>
    <row r="157" spans="1:12" ht="15" thickBot="1" x14ac:dyDescent="0.4">
      <c r="A157" s="15">
        <v>44917</v>
      </c>
      <c r="B157" s="54">
        <v>34702883</v>
      </c>
      <c r="C157" s="54">
        <v>72232</v>
      </c>
      <c r="D157" s="54">
        <v>1854686</v>
      </c>
      <c r="E157" s="54">
        <v>18717339</v>
      </c>
      <c r="F157" s="54">
        <v>19683157</v>
      </c>
      <c r="G157" s="54">
        <v>1325362</v>
      </c>
      <c r="H157" s="54">
        <v>3380181</v>
      </c>
      <c r="I157" s="54">
        <v>719150</v>
      </c>
      <c r="J157" s="54">
        <v>11537883</v>
      </c>
      <c r="K157" s="54">
        <v>73875340</v>
      </c>
      <c r="L157" s="54">
        <f>SUM(B157:K157)</f>
        <v>165868213</v>
      </c>
    </row>
    <row r="158" spans="1:12" x14ac:dyDescent="0.35">
      <c r="A158" s="53">
        <v>44948</v>
      </c>
      <c r="B158" s="70">
        <v>23359249</v>
      </c>
      <c r="C158" s="70">
        <v>75342</v>
      </c>
      <c r="D158" s="70">
        <v>992490</v>
      </c>
      <c r="E158" s="70">
        <v>16282162</v>
      </c>
      <c r="F158" s="70">
        <v>7874130</v>
      </c>
      <c r="G158" s="70">
        <v>1140334</v>
      </c>
      <c r="H158" s="70">
        <v>1891809</v>
      </c>
      <c r="I158" s="70">
        <v>413124</v>
      </c>
      <c r="J158" s="70">
        <v>5403037</v>
      </c>
      <c r="K158" s="70">
        <v>48882990</v>
      </c>
      <c r="L158" s="70">
        <f t="shared" ref="L158:L166" si="10">SUM(B158:K158)</f>
        <v>106314667</v>
      </c>
    </row>
    <row r="159" spans="1:12" x14ac:dyDescent="0.35">
      <c r="A159" s="7">
        <v>44979</v>
      </c>
      <c r="B159" s="11">
        <v>23327810</v>
      </c>
      <c r="C159" s="11">
        <v>83335</v>
      </c>
      <c r="D159" s="11">
        <v>977067</v>
      </c>
      <c r="E159" s="11">
        <v>15498621</v>
      </c>
      <c r="F159" s="11">
        <v>8471563</v>
      </c>
      <c r="G159" s="11">
        <v>1161510</v>
      </c>
      <c r="H159" s="11">
        <v>2126821</v>
      </c>
      <c r="I159" s="11">
        <v>781397</v>
      </c>
      <c r="J159" s="11">
        <v>9542453</v>
      </c>
      <c r="K159" s="11">
        <v>46445537</v>
      </c>
      <c r="L159" s="11">
        <f t="shared" si="10"/>
        <v>108416114</v>
      </c>
    </row>
    <row r="160" spans="1:12" x14ac:dyDescent="0.35">
      <c r="A160" s="7">
        <v>45007</v>
      </c>
      <c r="B160" s="100">
        <v>27175124.760000002</v>
      </c>
      <c r="C160" s="100">
        <v>105074.09</v>
      </c>
      <c r="D160" s="100">
        <v>1168248.08</v>
      </c>
      <c r="E160" s="100">
        <v>19822181.140000001</v>
      </c>
      <c r="F160" s="100">
        <v>10465841.470000001</v>
      </c>
      <c r="G160" s="100">
        <v>1544808.17</v>
      </c>
      <c r="H160" s="100">
        <v>2805201.87</v>
      </c>
      <c r="I160" s="100">
        <v>965035.6</v>
      </c>
      <c r="J160" s="100">
        <v>7892830.6299999999</v>
      </c>
      <c r="K160" s="122">
        <v>59215116.149999999</v>
      </c>
      <c r="L160" s="11">
        <f t="shared" si="10"/>
        <v>131159461.96000001</v>
      </c>
    </row>
    <row r="161" spans="1:12" x14ac:dyDescent="0.35">
      <c r="A161" s="42">
        <v>45038</v>
      </c>
      <c r="B161" s="11">
        <v>25122448</v>
      </c>
      <c r="C161" s="11">
        <v>108110</v>
      </c>
      <c r="D161" s="11">
        <v>986819</v>
      </c>
      <c r="E161" s="11">
        <v>16572881</v>
      </c>
      <c r="F161" s="11">
        <v>9047949</v>
      </c>
      <c r="G161" s="11">
        <v>1340141</v>
      </c>
      <c r="H161" s="11">
        <v>2390843</v>
      </c>
      <c r="I161" s="11">
        <v>1069327</v>
      </c>
      <c r="J161" s="11">
        <v>6227393</v>
      </c>
      <c r="K161" s="11">
        <v>51298952</v>
      </c>
      <c r="L161" s="11">
        <f t="shared" si="10"/>
        <v>114164863</v>
      </c>
    </row>
    <row r="162" spans="1:12" x14ac:dyDescent="0.35">
      <c r="A162" s="7">
        <v>45068</v>
      </c>
      <c r="B162" s="11">
        <v>25605435</v>
      </c>
      <c r="C162" s="11">
        <v>113714</v>
      </c>
      <c r="D162" s="11">
        <v>1217696</v>
      </c>
      <c r="E162" s="11">
        <v>17054386</v>
      </c>
      <c r="F162" s="11">
        <v>8807920</v>
      </c>
      <c r="G162" s="11">
        <v>1201649</v>
      </c>
      <c r="H162" s="11">
        <v>2844569</v>
      </c>
      <c r="I162" s="11">
        <v>2474451</v>
      </c>
      <c r="J162" s="11">
        <v>6830135</v>
      </c>
      <c r="K162" s="11">
        <v>54087698</v>
      </c>
      <c r="L162" s="11">
        <f t="shared" si="10"/>
        <v>120237653</v>
      </c>
    </row>
    <row r="163" spans="1:12" x14ac:dyDescent="0.35">
      <c r="A163" s="7">
        <v>45099</v>
      </c>
      <c r="B163" s="11">
        <v>25990843</v>
      </c>
      <c r="C163" s="11">
        <v>92723</v>
      </c>
      <c r="D163" s="11">
        <v>1154623</v>
      </c>
      <c r="E163" s="11">
        <v>16326555</v>
      </c>
      <c r="F163" s="11">
        <v>9906278</v>
      </c>
      <c r="G163" s="11">
        <v>1398505</v>
      </c>
      <c r="H163" s="11">
        <v>2564677</v>
      </c>
      <c r="I163" s="11">
        <v>1057137</v>
      </c>
      <c r="J163" s="11">
        <v>7448035</v>
      </c>
      <c r="K163" s="11">
        <v>58523192</v>
      </c>
      <c r="L163" s="11">
        <f t="shared" si="10"/>
        <v>124462568</v>
      </c>
    </row>
    <row r="164" spans="1:12" x14ac:dyDescent="0.35">
      <c r="A164" s="42">
        <v>45129</v>
      </c>
      <c r="B164" s="11">
        <v>25440243</v>
      </c>
      <c r="C164" s="11">
        <v>102643</v>
      </c>
      <c r="D164" s="11">
        <v>787497</v>
      </c>
      <c r="E164" s="11">
        <v>16089499</v>
      </c>
      <c r="F164" s="11">
        <v>7763768</v>
      </c>
      <c r="G164" s="11">
        <v>1141963</v>
      </c>
      <c r="H164" s="11">
        <v>2502984</v>
      </c>
      <c r="I164" s="11">
        <v>1168022</v>
      </c>
      <c r="J164" s="11">
        <v>6272100</v>
      </c>
      <c r="K164" s="11">
        <v>58604471</v>
      </c>
      <c r="L164" s="11">
        <f t="shared" si="10"/>
        <v>119873190</v>
      </c>
    </row>
    <row r="165" spans="1:12" x14ac:dyDescent="0.35">
      <c r="A165" s="7">
        <v>45160</v>
      </c>
      <c r="B165" s="11">
        <v>26440623</v>
      </c>
      <c r="C165" s="11">
        <v>98985</v>
      </c>
      <c r="D165" s="11">
        <v>863710</v>
      </c>
      <c r="E165" s="11">
        <v>17905059</v>
      </c>
      <c r="F165" s="11">
        <v>7821070</v>
      </c>
      <c r="G165" s="11">
        <v>1175667</v>
      </c>
      <c r="H165" s="11">
        <v>2330515</v>
      </c>
      <c r="I165" s="11">
        <v>1261394</v>
      </c>
      <c r="J165" s="11">
        <v>5759541</v>
      </c>
      <c r="K165" s="11">
        <v>56719994</v>
      </c>
      <c r="L165" s="11">
        <f t="shared" si="10"/>
        <v>120376558</v>
      </c>
    </row>
    <row r="166" spans="1:12" x14ac:dyDescent="0.35">
      <c r="A166" s="7">
        <v>45191</v>
      </c>
      <c r="B166" s="11">
        <v>25661923</v>
      </c>
      <c r="C166" s="11">
        <v>95828</v>
      </c>
      <c r="D166" s="11">
        <v>1104512</v>
      </c>
      <c r="E166" s="11">
        <v>16605056</v>
      </c>
      <c r="F166" s="11">
        <v>8395138</v>
      </c>
      <c r="G166" s="11">
        <v>1352735</v>
      </c>
      <c r="H166" s="11">
        <v>2190891</v>
      </c>
      <c r="I166" s="11">
        <v>795647</v>
      </c>
      <c r="J166" s="11">
        <v>6529415</v>
      </c>
      <c r="K166" s="11">
        <v>51759981</v>
      </c>
      <c r="L166" s="11">
        <f t="shared" si="10"/>
        <v>114491126</v>
      </c>
    </row>
    <row r="167" spans="1:12" x14ac:dyDescent="0.35">
      <c r="A167" s="42">
        <v>45221</v>
      </c>
      <c r="B167" s="11">
        <v>25978282</v>
      </c>
      <c r="C167" s="11">
        <v>88245</v>
      </c>
      <c r="D167" s="11">
        <v>976930</v>
      </c>
      <c r="E167" s="11">
        <v>17168660</v>
      </c>
      <c r="F167" s="11">
        <v>7846724</v>
      </c>
      <c r="G167" s="11">
        <v>1173535</v>
      </c>
      <c r="H167" s="11">
        <v>1869289</v>
      </c>
      <c r="I167" s="11">
        <v>1073139</v>
      </c>
      <c r="J167" s="11">
        <v>5762840</v>
      </c>
      <c r="K167" s="11">
        <v>55724858</v>
      </c>
      <c r="L167" s="11">
        <f t="shared" ref="L167:L179" si="11">SUM(B167:K167)</f>
        <v>117662502</v>
      </c>
    </row>
    <row r="168" spans="1:12" x14ac:dyDescent="0.35">
      <c r="A168" s="7">
        <v>45252</v>
      </c>
      <c r="B168" s="100">
        <v>28922068.190000001</v>
      </c>
      <c r="C168" s="100">
        <v>89568.47</v>
      </c>
      <c r="D168" s="100">
        <v>1140035.92</v>
      </c>
      <c r="E168" s="100">
        <v>23378036.460000001</v>
      </c>
      <c r="F168" s="100">
        <v>10171934.810000001</v>
      </c>
      <c r="G168" s="100">
        <v>1168253.72</v>
      </c>
      <c r="H168" s="100">
        <v>1847541.51</v>
      </c>
      <c r="I168" s="100">
        <v>844080.84</v>
      </c>
      <c r="J168" s="100">
        <v>7104228.0899999999</v>
      </c>
      <c r="K168" s="122">
        <v>58963646.68</v>
      </c>
      <c r="L168" s="11">
        <f t="shared" si="11"/>
        <v>133629394.69</v>
      </c>
    </row>
    <row r="169" spans="1:12" ht="15" thickBot="1" x14ac:dyDescent="0.4">
      <c r="A169" s="15">
        <v>45282</v>
      </c>
      <c r="B169" s="54">
        <v>35402749.140000001</v>
      </c>
      <c r="C169" s="54">
        <v>99066.87</v>
      </c>
      <c r="D169" s="54">
        <v>1627362.47</v>
      </c>
      <c r="E169" s="54">
        <v>19464086.91</v>
      </c>
      <c r="F169" s="54">
        <v>18114318.140000001</v>
      </c>
      <c r="G169" s="54">
        <v>1371598.99</v>
      </c>
      <c r="H169" s="54">
        <v>3647353</v>
      </c>
      <c r="I169" s="54">
        <v>5174129.4800000004</v>
      </c>
      <c r="J169" s="54">
        <v>10481699.689999999</v>
      </c>
      <c r="K169" s="54">
        <v>74013753.239999995</v>
      </c>
      <c r="L169" s="54">
        <f t="shared" si="11"/>
        <v>169396117.93000001</v>
      </c>
    </row>
    <row r="170" spans="1:12" x14ac:dyDescent="0.35">
      <c r="A170" s="53">
        <v>45313</v>
      </c>
      <c r="B170" s="132">
        <v>25047850.07</v>
      </c>
      <c r="C170" s="132">
        <v>106524.33</v>
      </c>
      <c r="D170" s="132">
        <v>1250432.98</v>
      </c>
      <c r="E170" s="132">
        <v>20384264.239999998</v>
      </c>
      <c r="F170" s="132">
        <v>6851056.3399999999</v>
      </c>
      <c r="G170" s="132">
        <v>1080376.19</v>
      </c>
      <c r="H170" s="132">
        <v>1721110.93</v>
      </c>
      <c r="I170" s="132">
        <v>631095.31000000006</v>
      </c>
      <c r="J170" s="132">
        <v>6016973.4000000004</v>
      </c>
      <c r="K170" s="132">
        <v>49575214.770000003</v>
      </c>
      <c r="L170" s="11">
        <f t="shared" si="11"/>
        <v>112664898.56</v>
      </c>
    </row>
    <row r="171" spans="1:12" x14ac:dyDescent="0.35">
      <c r="A171" s="7">
        <v>45344</v>
      </c>
      <c r="B171" s="100">
        <v>24309875.859999999</v>
      </c>
      <c r="C171" s="100">
        <v>29061.54</v>
      </c>
      <c r="D171" s="100">
        <v>999097.74</v>
      </c>
      <c r="E171" s="100">
        <v>17088314.760000002</v>
      </c>
      <c r="F171" s="100">
        <v>7487640.1600000001</v>
      </c>
      <c r="G171" s="100">
        <v>1068414.43</v>
      </c>
      <c r="H171" s="100">
        <v>2224697.6</v>
      </c>
      <c r="I171" s="100">
        <v>892502.44</v>
      </c>
      <c r="J171" s="100">
        <v>5750477.29</v>
      </c>
      <c r="K171" s="101">
        <v>49606401.479999997</v>
      </c>
      <c r="L171" s="11">
        <f t="shared" si="11"/>
        <v>109456483.3</v>
      </c>
    </row>
    <row r="172" spans="1:12" x14ac:dyDescent="0.35">
      <c r="A172" s="42">
        <v>45373</v>
      </c>
      <c r="B172" s="100">
        <v>28524423.190000001</v>
      </c>
      <c r="C172" s="100">
        <v>139810.88</v>
      </c>
      <c r="D172" s="100">
        <v>1091880.93</v>
      </c>
      <c r="E172" s="100">
        <v>18634500.219999999</v>
      </c>
      <c r="F172" s="100">
        <v>8979987.6099999994</v>
      </c>
      <c r="G172" s="100">
        <v>1423345.48</v>
      </c>
      <c r="H172" s="100">
        <v>4042803.11</v>
      </c>
      <c r="I172" s="100">
        <v>1268400.21</v>
      </c>
      <c r="J172" s="100">
        <v>7480602.7800000003</v>
      </c>
      <c r="K172" s="122">
        <v>59245439.82</v>
      </c>
      <c r="L172" s="11">
        <f t="shared" si="11"/>
        <v>130831194.22999999</v>
      </c>
    </row>
    <row r="173" spans="1:12" x14ac:dyDescent="0.35">
      <c r="A173" s="7">
        <v>45404</v>
      </c>
      <c r="B173" s="11">
        <v>24002564.530000001</v>
      </c>
      <c r="C173" s="11">
        <v>118115.5</v>
      </c>
      <c r="D173" s="11">
        <v>915529.57</v>
      </c>
      <c r="E173" s="11">
        <v>19372491.84</v>
      </c>
      <c r="F173" s="11">
        <v>7254410.3899999997</v>
      </c>
      <c r="G173" s="11">
        <v>1132691.21</v>
      </c>
      <c r="H173" s="11">
        <v>2670503.73</v>
      </c>
      <c r="I173" s="11">
        <v>1205922.57</v>
      </c>
      <c r="J173" s="11">
        <v>5593155.0700000003</v>
      </c>
      <c r="K173" s="11">
        <v>54733035.170000002</v>
      </c>
      <c r="L173" s="11">
        <f t="shared" si="11"/>
        <v>116998419.58</v>
      </c>
    </row>
    <row r="174" spans="1:12" x14ac:dyDescent="0.35">
      <c r="A174" s="42">
        <v>45434</v>
      </c>
      <c r="B174" s="11">
        <v>25642425.210000001</v>
      </c>
      <c r="C174" s="11">
        <v>129049.17</v>
      </c>
      <c r="D174" s="11">
        <v>884118.51</v>
      </c>
      <c r="E174" s="11">
        <v>19568654.16</v>
      </c>
      <c r="F174" s="11">
        <v>8492135.1199999992</v>
      </c>
      <c r="G174" s="11">
        <v>1194061.3999999999</v>
      </c>
      <c r="H174" s="11">
        <v>3388054.54</v>
      </c>
      <c r="I174" s="11">
        <v>1114867.3799999999</v>
      </c>
      <c r="J174" s="11">
        <v>5909595.7000000002</v>
      </c>
      <c r="K174" s="11">
        <v>55718323.649999999</v>
      </c>
      <c r="L174" s="11">
        <f t="shared" si="11"/>
        <v>122041284.84</v>
      </c>
    </row>
    <row r="175" spans="1:12" x14ac:dyDescent="0.35">
      <c r="A175" s="7">
        <v>45465</v>
      </c>
      <c r="B175" s="11">
        <v>26503038.27</v>
      </c>
      <c r="C175" s="11">
        <v>248662.17</v>
      </c>
      <c r="D175" s="11">
        <v>923260.07</v>
      </c>
      <c r="E175" s="11">
        <v>18103649.539999999</v>
      </c>
      <c r="F175" s="11">
        <v>8789378.8000000007</v>
      </c>
      <c r="G175" s="11">
        <v>1387547.7</v>
      </c>
      <c r="H175" s="11">
        <v>2957625.03</v>
      </c>
      <c r="I175" s="11">
        <v>617840.53</v>
      </c>
      <c r="J175" s="11">
        <v>6817714.6299999999</v>
      </c>
      <c r="K175" s="11">
        <v>56524227.270000003</v>
      </c>
      <c r="L175" s="11">
        <f t="shared" si="11"/>
        <v>122872944.01000001</v>
      </c>
    </row>
    <row r="176" spans="1:12" x14ac:dyDescent="0.35">
      <c r="A176" s="42">
        <v>45495</v>
      </c>
      <c r="B176" s="11">
        <v>25621288.140000001</v>
      </c>
      <c r="C176" s="11">
        <v>119685.2</v>
      </c>
      <c r="D176" s="11">
        <v>764975.77</v>
      </c>
      <c r="E176" s="11">
        <v>18282090.329999998</v>
      </c>
      <c r="F176" s="11">
        <v>7498487.6500000004</v>
      </c>
      <c r="G176" s="11">
        <v>1113667.8600000001</v>
      </c>
      <c r="H176" s="11">
        <v>2696670.56</v>
      </c>
      <c r="I176" s="11">
        <v>-4101299.02</v>
      </c>
      <c r="J176" s="11">
        <v>5662297.7000000002</v>
      </c>
      <c r="K176" s="11">
        <v>58617370.740000002</v>
      </c>
      <c r="L176" s="11">
        <f t="shared" si="11"/>
        <v>116275234.93000001</v>
      </c>
    </row>
    <row r="177" spans="1:12" x14ac:dyDescent="0.35">
      <c r="A177" s="7">
        <v>45526</v>
      </c>
      <c r="B177" s="11">
        <v>26588968.039999999</v>
      </c>
      <c r="C177" s="11">
        <v>129313.89</v>
      </c>
      <c r="D177" s="11">
        <v>840466.43</v>
      </c>
      <c r="E177" s="11">
        <v>16841791.5</v>
      </c>
      <c r="F177" s="11">
        <v>7286270.96</v>
      </c>
      <c r="G177" s="11">
        <v>833238.45</v>
      </c>
      <c r="H177" s="11">
        <v>3161998.76</v>
      </c>
      <c r="I177" s="11">
        <v>-3920211.38</v>
      </c>
      <c r="J177" s="11">
        <v>5556479.7199999997</v>
      </c>
      <c r="K177" s="11">
        <v>55270645.850000001</v>
      </c>
      <c r="L177" s="11">
        <f>SUM(B177:K177)</f>
        <v>112588962.22</v>
      </c>
    </row>
    <row r="178" spans="1:12" x14ac:dyDescent="0.35">
      <c r="A178" s="42">
        <v>45557</v>
      </c>
      <c r="B178" s="11">
        <v>25891424.809999999</v>
      </c>
      <c r="C178" s="11">
        <v>113332.19</v>
      </c>
      <c r="D178" s="11">
        <v>1071819.04</v>
      </c>
      <c r="E178" s="11">
        <v>18803425.18</v>
      </c>
      <c r="F178" s="11">
        <v>8062480.3300000001</v>
      </c>
      <c r="G178" s="11">
        <v>1310372.6299999999</v>
      </c>
      <c r="H178" s="11">
        <v>2830366.2</v>
      </c>
      <c r="I178" s="11">
        <v>-4297516.53</v>
      </c>
      <c r="J178" s="11">
        <v>6640878.4500000002</v>
      </c>
      <c r="K178" s="11">
        <v>55538872.299999997</v>
      </c>
      <c r="L178" s="11">
        <f t="shared" si="11"/>
        <v>115965454.59999999</v>
      </c>
    </row>
    <row r="179" spans="1:12" x14ac:dyDescent="0.35">
      <c r="A179" s="7">
        <v>45587</v>
      </c>
      <c r="B179" s="11">
        <v>25678310.5</v>
      </c>
      <c r="C179" s="11">
        <v>106431.45</v>
      </c>
      <c r="D179" s="11">
        <v>1721100.81</v>
      </c>
      <c r="E179" s="11">
        <v>18310012.16</v>
      </c>
      <c r="F179" s="11">
        <v>7616710.9900000002</v>
      </c>
      <c r="G179" s="11">
        <v>1149539.24</v>
      </c>
      <c r="H179" s="11">
        <v>2296184.08</v>
      </c>
      <c r="I179" s="11">
        <v>909379.85</v>
      </c>
      <c r="J179" s="11">
        <v>5714724.7199999997</v>
      </c>
      <c r="K179" s="11">
        <v>57682066.710000001</v>
      </c>
      <c r="L179" s="11">
        <f t="shared" si="11"/>
        <v>121184460.51000001</v>
      </c>
    </row>
    <row r="180" spans="1:12" x14ac:dyDescent="0.35">
      <c r="A180" s="42">
        <v>45618</v>
      </c>
      <c r="B180" s="100">
        <v>28681166.609999999</v>
      </c>
      <c r="C180" s="100">
        <v>100586.17</v>
      </c>
      <c r="D180" s="100">
        <v>1111590.3700000001</v>
      </c>
      <c r="E180" s="100">
        <v>17268214</v>
      </c>
      <c r="F180" s="100">
        <v>10039841.130000001</v>
      </c>
      <c r="G180" s="100">
        <v>1055638.8799999999</v>
      </c>
      <c r="H180" s="100">
        <v>2068786.76</v>
      </c>
      <c r="I180" s="100">
        <v>705261.89</v>
      </c>
      <c r="J180" s="100">
        <v>6958156.1399999997</v>
      </c>
      <c r="K180" s="122">
        <v>60513363.43</v>
      </c>
      <c r="L180" s="11">
        <f>SUM(B180:K180)</f>
        <v>128502605.38</v>
      </c>
    </row>
    <row r="181" spans="1:12" ht="15" thickBot="1" x14ac:dyDescent="0.4">
      <c r="A181" s="15">
        <v>45648</v>
      </c>
      <c r="B181" s="54">
        <v>35178398.049999997</v>
      </c>
      <c r="C181" s="54">
        <v>85560.39</v>
      </c>
      <c r="D181" s="54">
        <v>1459869.01</v>
      </c>
      <c r="E181" s="54">
        <v>20737746.469999999</v>
      </c>
      <c r="F181" s="54">
        <v>18392274.84</v>
      </c>
      <c r="G181" s="54">
        <v>1280599.07</v>
      </c>
      <c r="H181" s="54">
        <v>4794060.9400000004</v>
      </c>
      <c r="I181" s="54">
        <v>696031.85</v>
      </c>
      <c r="J181" s="54">
        <v>10140785.23</v>
      </c>
      <c r="K181" s="54">
        <v>77349939.849999994</v>
      </c>
      <c r="L181" s="54">
        <v>170115265.69999999</v>
      </c>
    </row>
    <row r="182" spans="1:12" x14ac:dyDescent="0.35">
      <c r="A182" s="16"/>
      <c r="B182" s="66"/>
      <c r="C182" s="66"/>
      <c r="D182" s="66"/>
      <c r="E182" s="66"/>
      <c r="F182" s="66"/>
      <c r="G182" s="66"/>
      <c r="H182" s="66"/>
      <c r="I182" s="66"/>
      <c r="J182" s="66"/>
      <c r="K182" s="66"/>
      <c r="L182" s="66"/>
    </row>
    <row r="183" spans="1:12" ht="15" thickBot="1" x14ac:dyDescent="0.4">
      <c r="A183" s="16"/>
      <c r="B183" s="66"/>
      <c r="C183" s="66"/>
      <c r="D183" s="66"/>
      <c r="E183" s="66"/>
      <c r="F183" s="66"/>
      <c r="G183" s="66"/>
      <c r="H183" s="66"/>
      <c r="I183" s="66"/>
      <c r="J183" s="66"/>
      <c r="K183" s="66"/>
      <c r="L183" s="66"/>
    </row>
    <row r="184" spans="1:12" x14ac:dyDescent="0.35">
      <c r="A184" s="1" t="s">
        <v>9</v>
      </c>
      <c r="B184" s="2" t="s">
        <v>237</v>
      </c>
      <c r="C184" s="3" t="s">
        <v>238</v>
      </c>
      <c r="D184" s="4" t="s">
        <v>239</v>
      </c>
      <c r="E184" s="4" t="s">
        <v>240</v>
      </c>
      <c r="F184" s="4" t="s">
        <v>241</v>
      </c>
      <c r="G184" s="4" t="s">
        <v>242</v>
      </c>
      <c r="H184" s="4" t="s">
        <v>243</v>
      </c>
      <c r="I184" s="4" t="s">
        <v>244</v>
      </c>
      <c r="J184" s="4" t="s">
        <v>245</v>
      </c>
      <c r="K184" s="2" t="s">
        <v>246</v>
      </c>
      <c r="L184" s="2" t="s">
        <v>247</v>
      </c>
    </row>
    <row r="185" spans="1:12" x14ac:dyDescent="0.35">
      <c r="A185" s="18">
        <v>2010</v>
      </c>
      <c r="B185" s="11">
        <f t="shared" ref="B185:L185" si="12">SUM(B2:B13)</f>
        <v>404520434</v>
      </c>
      <c r="C185" s="11">
        <f t="shared" si="12"/>
        <v>431741</v>
      </c>
      <c r="D185" s="11">
        <f t="shared" si="12"/>
        <v>40054967</v>
      </c>
      <c r="E185" s="11">
        <f t="shared" si="12"/>
        <v>147610490</v>
      </c>
      <c r="F185" s="11">
        <f t="shared" si="12"/>
        <v>118783663</v>
      </c>
      <c r="G185" s="11">
        <f t="shared" si="12"/>
        <v>13081127</v>
      </c>
      <c r="H185" s="11">
        <f t="shared" si="12"/>
        <v>19869640</v>
      </c>
      <c r="I185" s="11">
        <f t="shared" si="12"/>
        <v>4222436</v>
      </c>
      <c r="J185" s="11">
        <f t="shared" si="12"/>
        <v>72850028</v>
      </c>
      <c r="K185" s="11">
        <f t="shared" si="12"/>
        <v>433209625</v>
      </c>
      <c r="L185" s="11">
        <f t="shared" si="12"/>
        <v>1254634151</v>
      </c>
    </row>
    <row r="186" spans="1:12" x14ac:dyDescent="0.35">
      <c r="A186" s="18">
        <v>2011</v>
      </c>
      <c r="B186" s="11">
        <f t="shared" ref="B186:L186" si="13">SUM(B14:B25)</f>
        <v>368790362</v>
      </c>
      <c r="C186" s="11">
        <f t="shared" si="13"/>
        <v>447208</v>
      </c>
      <c r="D186" s="11">
        <f t="shared" si="13"/>
        <v>39031935</v>
      </c>
      <c r="E186" s="11">
        <f t="shared" si="13"/>
        <v>146868737</v>
      </c>
      <c r="F186" s="11">
        <f t="shared" si="13"/>
        <v>132544915</v>
      </c>
      <c r="G186" s="11">
        <f t="shared" si="13"/>
        <v>14738931</v>
      </c>
      <c r="H186" s="11">
        <f t="shared" si="13"/>
        <v>21373405</v>
      </c>
      <c r="I186" s="11">
        <f t="shared" si="13"/>
        <v>3934376</v>
      </c>
      <c r="J186" s="11">
        <f t="shared" si="13"/>
        <v>80266584</v>
      </c>
      <c r="K186" s="11">
        <f t="shared" si="13"/>
        <v>437026858</v>
      </c>
      <c r="L186" s="11">
        <f t="shared" si="13"/>
        <v>1245023311</v>
      </c>
    </row>
    <row r="187" spans="1:12" x14ac:dyDescent="0.35">
      <c r="A187" s="18">
        <v>2012</v>
      </c>
      <c r="B187" s="11">
        <f t="shared" ref="B187:L187" si="14">SUM(B26:B37)</f>
        <v>369967636</v>
      </c>
      <c r="C187" s="11">
        <f t="shared" si="14"/>
        <v>443463</v>
      </c>
      <c r="D187" s="11">
        <f t="shared" si="14"/>
        <v>36963496</v>
      </c>
      <c r="E187" s="11">
        <f t="shared" si="14"/>
        <v>153126060</v>
      </c>
      <c r="F187" s="11">
        <f t="shared" si="14"/>
        <v>155453003</v>
      </c>
      <c r="G187" s="11">
        <f t="shared" si="14"/>
        <v>17082469</v>
      </c>
      <c r="H187" s="11">
        <f t="shared" si="14"/>
        <v>23313588</v>
      </c>
      <c r="I187" s="11">
        <f t="shared" si="14"/>
        <v>4498708</v>
      </c>
      <c r="J187" s="11">
        <f t="shared" si="14"/>
        <v>81964873</v>
      </c>
      <c r="K187" s="11">
        <f t="shared" si="14"/>
        <v>489703426</v>
      </c>
      <c r="L187" s="11">
        <f t="shared" si="14"/>
        <v>1332516722</v>
      </c>
    </row>
    <row r="188" spans="1:12" x14ac:dyDescent="0.35">
      <c r="A188" s="18">
        <v>2013</v>
      </c>
      <c r="B188" s="11">
        <f t="shared" ref="B188:L188" si="15">SUM(B38:B49)</f>
        <v>365700523</v>
      </c>
      <c r="C188" s="11">
        <f t="shared" si="15"/>
        <v>702323</v>
      </c>
      <c r="D188" s="11">
        <f t="shared" si="15"/>
        <v>41806366</v>
      </c>
      <c r="E188" s="11">
        <f t="shared" si="15"/>
        <v>167224958</v>
      </c>
      <c r="F188" s="11">
        <f t="shared" si="15"/>
        <v>164542759</v>
      </c>
      <c r="G188" s="11">
        <f t="shared" si="15"/>
        <v>17893972</v>
      </c>
      <c r="H188" s="11">
        <f t="shared" si="15"/>
        <v>24194021</v>
      </c>
      <c r="I188" s="11">
        <f t="shared" si="15"/>
        <v>5048389</v>
      </c>
      <c r="J188" s="11">
        <f t="shared" si="15"/>
        <v>85430381</v>
      </c>
      <c r="K188" s="11">
        <f t="shared" si="15"/>
        <v>488471699</v>
      </c>
      <c r="L188" s="11">
        <f t="shared" si="15"/>
        <v>1361015391</v>
      </c>
    </row>
    <row r="189" spans="1:12" x14ac:dyDescent="0.35">
      <c r="A189" s="18">
        <v>2014</v>
      </c>
      <c r="B189" s="11">
        <f t="shared" ref="B189:L189" si="16">SUM(B50:B61)</f>
        <v>371142872</v>
      </c>
      <c r="C189" s="11">
        <f t="shared" si="16"/>
        <v>765748</v>
      </c>
      <c r="D189" s="11">
        <f t="shared" si="16"/>
        <v>36520992</v>
      </c>
      <c r="E189" s="11">
        <f t="shared" si="16"/>
        <v>157108247</v>
      </c>
      <c r="F189" s="11">
        <f t="shared" si="16"/>
        <v>166242546</v>
      </c>
      <c r="G189" s="11">
        <f t="shared" si="16"/>
        <v>14892673</v>
      </c>
      <c r="H189" s="11">
        <f t="shared" si="16"/>
        <v>26218066</v>
      </c>
      <c r="I189" s="11">
        <f t="shared" si="16"/>
        <v>6632316</v>
      </c>
      <c r="J189" s="11">
        <f t="shared" si="16"/>
        <v>85094516</v>
      </c>
      <c r="K189" s="11">
        <f t="shared" si="16"/>
        <v>516182575</v>
      </c>
      <c r="L189" s="11">
        <f t="shared" si="16"/>
        <v>1380800551</v>
      </c>
    </row>
    <row r="190" spans="1:12" x14ac:dyDescent="0.35">
      <c r="A190" s="18">
        <v>2015</v>
      </c>
      <c r="B190" s="11">
        <f t="shared" ref="B190:L190" si="17">SUM(B62:B73)</f>
        <v>361793019.17999995</v>
      </c>
      <c r="C190" s="11">
        <f t="shared" si="17"/>
        <v>930542.81</v>
      </c>
      <c r="D190" s="11">
        <f t="shared" si="17"/>
        <v>33675020.93</v>
      </c>
      <c r="E190" s="11">
        <f t="shared" si="17"/>
        <v>159980780.96000001</v>
      </c>
      <c r="F190" s="11">
        <f t="shared" si="17"/>
        <v>151121094.39000002</v>
      </c>
      <c r="G190" s="11">
        <f t="shared" si="17"/>
        <v>15165613.300000001</v>
      </c>
      <c r="H190" s="11">
        <f t="shared" si="17"/>
        <v>25476116.609999999</v>
      </c>
      <c r="I190" s="11">
        <f t="shared" si="17"/>
        <v>5902958.4299999997</v>
      </c>
      <c r="J190" s="11">
        <f t="shared" si="17"/>
        <v>81695361.120000005</v>
      </c>
      <c r="K190" s="11">
        <f t="shared" si="17"/>
        <v>517206724.12</v>
      </c>
      <c r="L190" s="11">
        <f t="shared" si="17"/>
        <v>1352947231.8500001</v>
      </c>
    </row>
    <row r="191" spans="1:12" x14ac:dyDescent="0.35">
      <c r="A191" s="18">
        <v>2016</v>
      </c>
      <c r="B191" s="11">
        <f t="shared" ref="B191:L191" si="18">SUM(B73:B84)</f>
        <v>338334024.29000002</v>
      </c>
      <c r="C191" s="11">
        <f t="shared" si="18"/>
        <v>795578.43</v>
      </c>
      <c r="D191" s="11">
        <f t="shared" si="18"/>
        <v>32267394.929999996</v>
      </c>
      <c r="E191" s="11">
        <f t="shared" si="18"/>
        <v>192271532.47</v>
      </c>
      <c r="F191" s="11">
        <f t="shared" si="18"/>
        <v>132658904.95999998</v>
      </c>
      <c r="G191" s="11">
        <f t="shared" si="18"/>
        <v>14657882</v>
      </c>
      <c r="H191" s="11">
        <f t="shared" si="18"/>
        <v>25704488</v>
      </c>
      <c r="I191" s="11">
        <f t="shared" si="18"/>
        <v>4837327.7999999989</v>
      </c>
      <c r="J191" s="11">
        <f t="shared" si="18"/>
        <v>76498228.400000006</v>
      </c>
      <c r="K191" s="11">
        <f t="shared" si="18"/>
        <v>554336287.23000002</v>
      </c>
      <c r="L191" s="11">
        <f t="shared" si="18"/>
        <v>1372361648.5100002</v>
      </c>
    </row>
    <row r="192" spans="1:12" x14ac:dyDescent="0.35">
      <c r="A192" s="18">
        <v>2017</v>
      </c>
      <c r="B192" s="11">
        <f t="shared" ref="B192:L192" si="19">SUM(B86:B97)</f>
        <v>317636888.47999996</v>
      </c>
      <c r="C192" s="11">
        <f t="shared" si="19"/>
        <v>898699.09</v>
      </c>
      <c r="D192" s="11">
        <f t="shared" si="19"/>
        <v>30088062.84</v>
      </c>
      <c r="E192" s="11">
        <f t="shared" si="19"/>
        <v>181630895.30000001</v>
      </c>
      <c r="F192" s="11">
        <f t="shared" si="19"/>
        <v>121754948.34</v>
      </c>
      <c r="G192" s="11">
        <f t="shared" si="19"/>
        <v>12718548.4</v>
      </c>
      <c r="H192" s="11">
        <f t="shared" si="19"/>
        <v>26945400.269999996</v>
      </c>
      <c r="I192" s="11">
        <f t="shared" si="19"/>
        <v>3434655.31</v>
      </c>
      <c r="J192" s="11">
        <f t="shared" si="19"/>
        <v>83274841.890000001</v>
      </c>
      <c r="K192" s="11">
        <f t="shared" si="19"/>
        <v>571038192.32000005</v>
      </c>
      <c r="L192" s="11">
        <f t="shared" si="19"/>
        <v>1349421132.2399998</v>
      </c>
    </row>
    <row r="193" spans="1:12" x14ac:dyDescent="0.35">
      <c r="A193" s="18">
        <v>2018</v>
      </c>
      <c r="B193" s="11">
        <f t="shared" ref="B193:L193" si="20">SUM(B98:B109)</f>
        <v>311484785.05000001</v>
      </c>
      <c r="C193" s="11">
        <f t="shared" si="20"/>
        <v>816731.07</v>
      </c>
      <c r="D193" s="11">
        <f t="shared" si="20"/>
        <v>23078068.960000001</v>
      </c>
      <c r="E193" s="11">
        <f t="shared" si="20"/>
        <v>185985280.15000001</v>
      </c>
      <c r="F193" s="11">
        <f t="shared" si="20"/>
        <v>119025010.60999998</v>
      </c>
      <c r="G193" s="11">
        <f t="shared" si="20"/>
        <v>10981347.359999999</v>
      </c>
      <c r="H193" s="11">
        <f t="shared" si="20"/>
        <v>23141530.610000003</v>
      </c>
      <c r="I193" s="11">
        <f t="shared" si="20"/>
        <v>3976707.0900000003</v>
      </c>
      <c r="J193" s="11">
        <f t="shared" si="20"/>
        <v>79821371.560000002</v>
      </c>
      <c r="K193" s="11">
        <f t="shared" si="20"/>
        <v>565171536.74000001</v>
      </c>
      <c r="L193" s="11">
        <f t="shared" si="20"/>
        <v>1323482369.2</v>
      </c>
    </row>
    <row r="194" spans="1:12" x14ac:dyDescent="0.35">
      <c r="A194" s="18">
        <v>2019</v>
      </c>
      <c r="B194" s="11">
        <f t="shared" ref="B194:L194" si="21">SUM(B110:B121)</f>
        <v>296845877.31999999</v>
      </c>
      <c r="C194" s="11">
        <f t="shared" si="21"/>
        <v>693287.92000000016</v>
      </c>
      <c r="D194" s="11">
        <f t="shared" si="21"/>
        <v>17933336.399999999</v>
      </c>
      <c r="E194" s="11">
        <f t="shared" si="21"/>
        <v>214205145.24999997</v>
      </c>
      <c r="F194" s="11">
        <f t="shared" si="21"/>
        <v>115015457.36999999</v>
      </c>
      <c r="G194" s="11">
        <f t="shared" si="21"/>
        <v>11691115.799999999</v>
      </c>
      <c r="H194" s="11">
        <f t="shared" si="21"/>
        <v>24839297.019999996</v>
      </c>
      <c r="I194" s="11">
        <f t="shared" si="21"/>
        <v>3820038.93</v>
      </c>
      <c r="J194" s="11">
        <f t="shared" si="21"/>
        <v>80299656.579999998</v>
      </c>
      <c r="K194" s="11">
        <f t="shared" si="21"/>
        <v>588342033.31999993</v>
      </c>
      <c r="L194" s="11">
        <f t="shared" si="21"/>
        <v>1353685245.9099998</v>
      </c>
    </row>
    <row r="195" spans="1:12" x14ac:dyDescent="0.35">
      <c r="A195" s="18">
        <v>2020</v>
      </c>
      <c r="B195" s="11">
        <f t="shared" ref="B195:L195" si="22">SUM(B122:B133)</f>
        <v>310035762.54000002</v>
      </c>
      <c r="C195" s="11">
        <f t="shared" si="22"/>
        <v>714420.652</v>
      </c>
      <c r="D195" s="11">
        <f t="shared" si="22"/>
        <v>15292463.939999999</v>
      </c>
      <c r="E195" s="11">
        <f t="shared" si="22"/>
        <v>191961889.56999999</v>
      </c>
      <c r="F195" s="11">
        <f t="shared" si="22"/>
        <v>111144483.63999999</v>
      </c>
      <c r="G195" s="11">
        <f t="shared" si="22"/>
        <v>12467733.379999999</v>
      </c>
      <c r="H195" s="11">
        <f t="shared" si="22"/>
        <v>29146475.080000006</v>
      </c>
      <c r="I195" s="11">
        <f t="shared" si="22"/>
        <v>3904387.3600000003</v>
      </c>
      <c r="J195" s="11">
        <f t="shared" si="22"/>
        <v>82436356.189999998</v>
      </c>
      <c r="K195" s="11">
        <f t="shared" si="22"/>
        <v>585427974.92999995</v>
      </c>
      <c r="L195" s="11">
        <f t="shared" si="22"/>
        <v>1342531947.2820001</v>
      </c>
    </row>
    <row r="196" spans="1:12" x14ac:dyDescent="0.35">
      <c r="A196" s="98">
        <v>2021</v>
      </c>
      <c r="B196" s="67">
        <f t="shared" ref="B196:L196" si="23">SUM(B134:B145)</f>
        <v>317673321.88</v>
      </c>
      <c r="C196" s="67">
        <f t="shared" si="23"/>
        <v>828252.12000000011</v>
      </c>
      <c r="D196" s="67">
        <f t="shared" si="23"/>
        <v>14502869.9</v>
      </c>
      <c r="E196" s="67">
        <f t="shared" si="23"/>
        <v>194015298.44</v>
      </c>
      <c r="F196" s="67">
        <f t="shared" si="23"/>
        <v>137234303.76000002</v>
      </c>
      <c r="G196" s="67">
        <f t="shared" si="23"/>
        <v>16035667.039999997</v>
      </c>
      <c r="H196" s="67">
        <f t="shared" si="23"/>
        <v>30603245.649999999</v>
      </c>
      <c r="I196" s="67">
        <f t="shared" si="23"/>
        <v>6358340.0599999996</v>
      </c>
      <c r="J196" s="67">
        <f t="shared" si="23"/>
        <v>88919731.819999993</v>
      </c>
      <c r="K196" s="67">
        <f t="shared" si="23"/>
        <v>687942480.7299999</v>
      </c>
      <c r="L196" s="67">
        <f t="shared" si="23"/>
        <v>1494113511.3999999</v>
      </c>
    </row>
    <row r="197" spans="1:12" x14ac:dyDescent="0.35">
      <c r="A197" s="18">
        <v>2022</v>
      </c>
      <c r="B197" s="11">
        <f t="shared" ref="B197:L197" si="24">SUM(B146:B157)</f>
        <v>309784687.29999995</v>
      </c>
      <c r="C197" s="11">
        <f t="shared" si="24"/>
        <v>1128325.06</v>
      </c>
      <c r="D197" s="11">
        <f t="shared" si="24"/>
        <v>13482131.43</v>
      </c>
      <c r="E197" s="11">
        <f t="shared" si="24"/>
        <v>187250844.96000001</v>
      </c>
      <c r="F197" s="11">
        <f t="shared" si="24"/>
        <v>126172530.42</v>
      </c>
      <c r="G197" s="11">
        <f t="shared" si="24"/>
        <v>15087192.1</v>
      </c>
      <c r="H197" s="11">
        <f t="shared" si="24"/>
        <v>31145340.170000002</v>
      </c>
      <c r="I197" s="11">
        <f t="shared" si="24"/>
        <v>10666740.210000001</v>
      </c>
      <c r="J197" s="11">
        <f t="shared" si="24"/>
        <v>85594710.289999992</v>
      </c>
      <c r="K197" s="11">
        <f t="shared" si="24"/>
        <v>667598736.11000001</v>
      </c>
      <c r="L197" s="11">
        <f t="shared" si="24"/>
        <v>1447911238.0500002</v>
      </c>
    </row>
    <row r="198" spans="1:12" x14ac:dyDescent="0.35">
      <c r="A198" s="18">
        <v>2023</v>
      </c>
      <c r="B198" s="11">
        <f>SUM(B158:B169)</f>
        <v>318426798.08999997</v>
      </c>
      <c r="C198" s="11">
        <f>SUM(C158:C169)</f>
        <v>1152634.4300000002</v>
      </c>
      <c r="D198" s="11">
        <f t="shared" ref="D198:L198" si="25">SUM(D158:D169)</f>
        <v>12996990.470000001</v>
      </c>
      <c r="E198" s="11">
        <f t="shared" si="25"/>
        <v>212167183.50999999</v>
      </c>
      <c r="F198" s="11">
        <f t="shared" si="25"/>
        <v>114686634.42</v>
      </c>
      <c r="G198" s="11">
        <f t="shared" si="25"/>
        <v>15170699.880000001</v>
      </c>
      <c r="H198" s="11">
        <f t="shared" si="25"/>
        <v>29012494.380000003</v>
      </c>
      <c r="I198" s="11">
        <f t="shared" si="25"/>
        <v>17076883.920000002</v>
      </c>
      <c r="J198" s="11">
        <f t="shared" si="25"/>
        <v>85253707.409999996</v>
      </c>
      <c r="K198" s="11">
        <f t="shared" si="25"/>
        <v>674240189.06999993</v>
      </c>
      <c r="L198" s="11">
        <f t="shared" si="25"/>
        <v>1480184215.5800002</v>
      </c>
    </row>
    <row r="199" spans="1:12" ht="15" thickBot="1" x14ac:dyDescent="0.4">
      <c r="A199" s="189" t="s">
        <v>12</v>
      </c>
      <c r="B199" s="46">
        <f>SUM(B170:B181)</f>
        <v>321669733.28000003</v>
      </c>
      <c r="C199" s="46">
        <f>SUM(C170:C181)</f>
        <v>1426132.8799999997</v>
      </c>
      <c r="D199" s="46">
        <f t="shared" ref="D199:L199" si="26">SUM(D170:D181)</f>
        <v>13034141.229999999</v>
      </c>
      <c r="E199" s="46">
        <f t="shared" si="26"/>
        <v>223395154.39999998</v>
      </c>
      <c r="F199" s="46">
        <f t="shared" si="26"/>
        <v>106750674.31999999</v>
      </c>
      <c r="G199" s="46">
        <f t="shared" si="26"/>
        <v>14029492.540000003</v>
      </c>
      <c r="H199" s="46">
        <f t="shared" si="26"/>
        <v>34852862.240000002</v>
      </c>
      <c r="I199" s="46">
        <f t="shared" si="26"/>
        <v>-4277724.9000000013</v>
      </c>
      <c r="J199" s="46">
        <f t="shared" si="26"/>
        <v>78241840.830000013</v>
      </c>
      <c r="K199" s="46">
        <f t="shared" si="26"/>
        <v>690374901.03999996</v>
      </c>
      <c r="L199" s="46">
        <f t="shared" si="26"/>
        <v>1479497207.8600004</v>
      </c>
    </row>
    <row r="200" spans="1:12" ht="15" thickBot="1" x14ac:dyDescent="0.4">
      <c r="A200" s="16"/>
      <c r="B200" s="12"/>
      <c r="C200" s="12"/>
      <c r="D200" s="12"/>
      <c r="E200" s="12"/>
      <c r="F200" s="12"/>
      <c r="G200" s="12"/>
    </row>
    <row r="201" spans="1:12" ht="15" thickBot="1" x14ac:dyDescent="0.4">
      <c r="A201" s="87"/>
      <c r="B201" s="21" t="s">
        <v>237</v>
      </c>
      <c r="C201" s="88" t="s">
        <v>238</v>
      </c>
      <c r="D201" s="21" t="s">
        <v>239</v>
      </c>
      <c r="E201" s="88" t="s">
        <v>240</v>
      </c>
      <c r="F201" s="21" t="s">
        <v>241</v>
      </c>
      <c r="G201" s="88" t="s">
        <v>242</v>
      </c>
      <c r="H201" s="21" t="s">
        <v>243</v>
      </c>
      <c r="I201" s="88" t="s">
        <v>244</v>
      </c>
      <c r="J201" s="21" t="s">
        <v>245</v>
      </c>
      <c r="K201" s="88" t="s">
        <v>246</v>
      </c>
      <c r="L201" s="21" t="s">
        <v>247</v>
      </c>
    </row>
    <row r="202" spans="1:12" x14ac:dyDescent="0.35">
      <c r="A202" s="188" t="s">
        <v>11</v>
      </c>
      <c r="B202" s="91">
        <f>SUM(B158:B169)</f>
        <v>318426798.08999997</v>
      </c>
      <c r="C202" s="91">
        <f>SUM(C158:C169)</f>
        <v>1152634.4300000002</v>
      </c>
      <c r="D202" s="91">
        <f t="shared" ref="D202:L202" si="27">SUM(D158:D169)</f>
        <v>12996990.470000001</v>
      </c>
      <c r="E202" s="91">
        <f t="shared" si="27"/>
        <v>212167183.50999999</v>
      </c>
      <c r="F202" s="91">
        <f t="shared" si="27"/>
        <v>114686634.42</v>
      </c>
      <c r="G202" s="91">
        <f t="shared" si="27"/>
        <v>15170699.880000001</v>
      </c>
      <c r="H202" s="91">
        <f t="shared" si="27"/>
        <v>29012494.380000003</v>
      </c>
      <c r="I202" s="91">
        <f t="shared" si="27"/>
        <v>17076883.920000002</v>
      </c>
      <c r="J202" s="91">
        <f t="shared" si="27"/>
        <v>85253707.409999996</v>
      </c>
      <c r="K202" s="91">
        <f t="shared" si="27"/>
        <v>674240189.06999993</v>
      </c>
      <c r="L202" s="91">
        <f t="shared" si="27"/>
        <v>1480184215.5800002</v>
      </c>
    </row>
    <row r="203" spans="1:12" x14ac:dyDescent="0.35">
      <c r="A203" s="188" t="s">
        <v>12</v>
      </c>
      <c r="B203" s="91">
        <f>SUM(B170:B181)</f>
        <v>321669733.28000003</v>
      </c>
      <c r="C203" s="91">
        <f>SUM(C170:C181)</f>
        <v>1426132.8799999997</v>
      </c>
      <c r="D203" s="91">
        <f t="shared" ref="D203:L203" si="28">SUM(D170:D181)</f>
        <v>13034141.229999999</v>
      </c>
      <c r="E203" s="91">
        <f t="shared" si="28"/>
        <v>223395154.39999998</v>
      </c>
      <c r="F203" s="91">
        <f t="shared" si="28"/>
        <v>106750674.31999999</v>
      </c>
      <c r="G203" s="91">
        <f t="shared" si="28"/>
        <v>14029492.540000003</v>
      </c>
      <c r="H203" s="91">
        <f t="shared" si="28"/>
        <v>34852862.240000002</v>
      </c>
      <c r="I203" s="91">
        <f t="shared" si="28"/>
        <v>-4277724.9000000013</v>
      </c>
      <c r="J203" s="91">
        <f t="shared" si="28"/>
        <v>78241840.830000013</v>
      </c>
      <c r="K203" s="91">
        <f t="shared" si="28"/>
        <v>690374901.03999996</v>
      </c>
      <c r="L203" s="91">
        <f t="shared" si="28"/>
        <v>1479497207.8600004</v>
      </c>
    </row>
    <row r="204" spans="1:12" ht="29.5" thickBot="1" x14ac:dyDescent="0.4">
      <c r="A204" s="83" t="s">
        <v>28</v>
      </c>
      <c r="B204" s="92">
        <f>(B203-B202)/B202</f>
        <v>1.0184240803387019E-2</v>
      </c>
      <c r="C204" s="89">
        <f t="shared" ref="C204:K204" si="29">(C203-C202)/C202</f>
        <v>0.23728117335519766</v>
      </c>
      <c r="D204" s="92">
        <f t="shared" si="29"/>
        <v>2.8584124983203063E-3</v>
      </c>
      <c r="E204" s="89">
        <f t="shared" si="29"/>
        <v>5.2920393739735824E-2</v>
      </c>
      <c r="F204" s="92">
        <f t="shared" si="29"/>
        <v>-6.9196904592537856E-2</v>
      </c>
      <c r="G204" s="89">
        <f t="shared" si="29"/>
        <v>-7.5224435855097666E-2</v>
      </c>
      <c r="H204" s="92">
        <f t="shared" si="29"/>
        <v>0.20130526467335066</v>
      </c>
      <c r="I204" s="89">
        <f t="shared" si="29"/>
        <v>-1.2504979784391486</v>
      </c>
      <c r="J204" s="92">
        <f t="shared" si="29"/>
        <v>-8.2247057553505448E-2</v>
      </c>
      <c r="K204" s="89">
        <f t="shared" si="29"/>
        <v>2.3930213937936758E-2</v>
      </c>
      <c r="L204" s="92">
        <f t="shared" ref="L204" si="30">(L203-L202)/L202</f>
        <v>-4.6413663432466129E-4</v>
      </c>
    </row>
    <row r="205" spans="1:12" ht="15" thickBot="1" x14ac:dyDescent="0.4">
      <c r="A205" s="16"/>
      <c r="B205" s="12"/>
      <c r="C205" s="12"/>
      <c r="D205" s="12"/>
      <c r="E205" s="12"/>
      <c r="F205" s="12"/>
      <c r="G205" s="12"/>
      <c r="J205" s="95"/>
    </row>
    <row r="206" spans="1:12" ht="15" thickBot="1" x14ac:dyDescent="0.4">
      <c r="A206" s="87"/>
      <c r="B206" s="38" t="s">
        <v>237</v>
      </c>
      <c r="C206" s="79" t="s">
        <v>238</v>
      </c>
      <c r="D206" s="38" t="s">
        <v>239</v>
      </c>
      <c r="E206" s="79" t="s">
        <v>240</v>
      </c>
      <c r="F206" s="38" t="s">
        <v>241</v>
      </c>
      <c r="G206" s="79" t="s">
        <v>242</v>
      </c>
      <c r="H206" s="38" t="s">
        <v>243</v>
      </c>
      <c r="I206" s="79" t="s">
        <v>244</v>
      </c>
      <c r="J206" s="38" t="s">
        <v>245</v>
      </c>
      <c r="K206" s="79" t="s">
        <v>246</v>
      </c>
      <c r="L206" s="38" t="s">
        <v>247</v>
      </c>
    </row>
    <row r="207" spans="1:12" ht="29" x14ac:dyDescent="0.35">
      <c r="A207" s="84" t="s">
        <v>17</v>
      </c>
      <c r="B207" s="91">
        <f>B169</f>
        <v>35402749.140000001</v>
      </c>
      <c r="C207" s="91">
        <f>C169</f>
        <v>99066.87</v>
      </c>
      <c r="D207" s="91">
        <f t="shared" ref="D207:L207" si="31">D169</f>
        <v>1627362.47</v>
      </c>
      <c r="E207" s="91">
        <f t="shared" si="31"/>
        <v>19464086.91</v>
      </c>
      <c r="F207" s="91">
        <f t="shared" si="31"/>
        <v>18114318.140000001</v>
      </c>
      <c r="G207" s="91">
        <f t="shared" si="31"/>
        <v>1371598.99</v>
      </c>
      <c r="H207" s="91">
        <f t="shared" si="31"/>
        <v>3647353</v>
      </c>
      <c r="I207" s="91">
        <f t="shared" si="31"/>
        <v>5174129.4800000004</v>
      </c>
      <c r="J207" s="91">
        <f t="shared" si="31"/>
        <v>10481699.689999999</v>
      </c>
      <c r="K207" s="91">
        <f t="shared" si="31"/>
        <v>74013753.239999995</v>
      </c>
      <c r="L207" s="91">
        <f t="shared" si="31"/>
        <v>169396117.93000001</v>
      </c>
    </row>
    <row r="208" spans="1:12" ht="29" x14ac:dyDescent="0.35">
      <c r="A208" s="84" t="s">
        <v>18</v>
      </c>
      <c r="B208" s="91">
        <f>B181</f>
        <v>35178398.049999997</v>
      </c>
      <c r="C208" s="91">
        <f>C181</f>
        <v>85560.39</v>
      </c>
      <c r="D208" s="91">
        <f t="shared" ref="D208:L208" si="32">D181</f>
        <v>1459869.01</v>
      </c>
      <c r="E208" s="91">
        <f t="shared" si="32"/>
        <v>20737746.469999999</v>
      </c>
      <c r="F208" s="91">
        <f t="shared" si="32"/>
        <v>18392274.84</v>
      </c>
      <c r="G208" s="91">
        <f t="shared" si="32"/>
        <v>1280599.07</v>
      </c>
      <c r="H208" s="91">
        <f t="shared" si="32"/>
        <v>4794060.9400000004</v>
      </c>
      <c r="I208" s="91">
        <f t="shared" si="32"/>
        <v>696031.85</v>
      </c>
      <c r="J208" s="91">
        <f t="shared" si="32"/>
        <v>10140785.23</v>
      </c>
      <c r="K208" s="91">
        <f t="shared" si="32"/>
        <v>77349939.849999994</v>
      </c>
      <c r="L208" s="91">
        <f t="shared" si="32"/>
        <v>170115265.69999999</v>
      </c>
    </row>
    <row r="209" spans="1:12" ht="29.5" thickBot="1" x14ac:dyDescent="0.4">
      <c r="A209" s="83" t="s">
        <v>28</v>
      </c>
      <c r="B209" s="92">
        <f>(B208-B207)/B207</f>
        <v>-6.3371092768193873E-3</v>
      </c>
      <c r="C209" s="89">
        <f t="shared" ref="C209:K209" si="33">(C208-C207)/C207</f>
        <v>-0.13633700146173991</v>
      </c>
      <c r="D209" s="92">
        <f t="shared" si="33"/>
        <v>-0.10292326576758279</v>
      </c>
      <c r="E209" s="89">
        <f t="shared" si="33"/>
        <v>6.5436388867829945E-2</v>
      </c>
      <c r="F209" s="92">
        <f t="shared" si="33"/>
        <v>1.534458530824938E-2</v>
      </c>
      <c r="G209" s="89">
        <f t="shared" si="33"/>
        <v>-6.6345863961302515E-2</v>
      </c>
      <c r="H209" s="92">
        <f>(H208-H207)/H207</f>
        <v>0.31439455956141354</v>
      </c>
      <c r="I209" s="89">
        <f>(I208-I207)/I207</f>
        <v>-0.86547846305539311</v>
      </c>
      <c r="J209" s="92">
        <f t="shared" ref="J209" si="34">(J208-J207)/J207</f>
        <v>-3.2524730729048303E-2</v>
      </c>
      <c r="K209" s="89">
        <f t="shared" si="33"/>
        <v>4.5075225400094836E-2</v>
      </c>
      <c r="L209" s="92">
        <f t="shared" ref="L209" si="35">(L208-L207)/L207</f>
        <v>4.245361574916116E-3</v>
      </c>
    </row>
  </sheetData>
  <pageMargins left="0.7" right="0.7" top="0.75" bottom="0.75" header="0.3" footer="0.3"/>
  <pageSetup orientation="portrait" r:id="rId1"/>
  <ignoredErrors>
    <ignoredError sqref="L2:L101 L103:L104 L106:L108 B185:K193 L109:L110 L112:L121 L122:L145 C194:K194 B195:K196 B194 L146:L157 B197:L19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09"/>
  <sheetViews>
    <sheetView zoomScaleNormal="100" workbookViewId="0">
      <pane ySplit="1" topLeftCell="A173" activePane="bottomLeft" state="frozen"/>
      <selection pane="bottomLeft" activeCell="K216" sqref="K216"/>
    </sheetView>
  </sheetViews>
  <sheetFormatPr defaultColWidth="9" defaultRowHeight="14.5" x14ac:dyDescent="0.35"/>
  <cols>
    <col min="1" max="1" width="13.453125" customWidth="1"/>
    <col min="2" max="2" width="14.54296875" bestFit="1" customWidth="1"/>
    <col min="3" max="3" width="14" bestFit="1" customWidth="1"/>
    <col min="4" max="4" width="13.54296875" bestFit="1" customWidth="1"/>
    <col min="5" max="5" width="15" bestFit="1" customWidth="1"/>
    <col min="6" max="6" width="16.453125" bestFit="1" customWidth="1"/>
    <col min="7" max="7" width="14" bestFit="1" customWidth="1"/>
    <col min="8" max="8" width="14.453125" bestFit="1" customWidth="1"/>
    <col min="9" max="9" width="15.1796875" bestFit="1" customWidth="1"/>
    <col min="10" max="10" width="14.54296875" bestFit="1" customWidth="1"/>
    <col min="11" max="11" width="19.54296875" bestFit="1" customWidth="1"/>
    <col min="12" max="12" width="29.1796875" bestFit="1" customWidth="1"/>
  </cols>
  <sheetData>
    <row r="1" spans="1:12" ht="22.5" customHeight="1" x14ac:dyDescent="0.35">
      <c r="A1" s="32" t="s">
        <v>0</v>
      </c>
      <c r="B1" s="33" t="s">
        <v>248</v>
      </c>
      <c r="C1" s="34" t="s">
        <v>249</v>
      </c>
      <c r="D1" s="35" t="s">
        <v>250</v>
      </c>
      <c r="E1" s="35" t="s">
        <v>251</v>
      </c>
      <c r="F1" s="35" t="s">
        <v>252</v>
      </c>
      <c r="G1" s="35" t="s">
        <v>253</v>
      </c>
      <c r="H1" s="35" t="s">
        <v>254</v>
      </c>
      <c r="I1" s="35" t="s">
        <v>255</v>
      </c>
      <c r="J1" s="35" t="s">
        <v>256</v>
      </c>
      <c r="K1" s="35" t="s">
        <v>257</v>
      </c>
      <c r="L1" s="33" t="s">
        <v>258</v>
      </c>
    </row>
    <row r="2" spans="1:12" x14ac:dyDescent="0.35">
      <c r="A2" s="7">
        <v>40179</v>
      </c>
      <c r="B2" s="128">
        <v>17759133</v>
      </c>
      <c r="C2" s="50">
        <v>3764441</v>
      </c>
      <c r="D2" s="51">
        <v>1798022</v>
      </c>
      <c r="E2" s="51">
        <v>4583927</v>
      </c>
      <c r="F2" s="51">
        <v>40117</v>
      </c>
      <c r="G2" s="51">
        <v>0</v>
      </c>
      <c r="H2" s="51">
        <v>186429</v>
      </c>
      <c r="I2" s="51">
        <v>0</v>
      </c>
      <c r="J2" s="51">
        <v>184040</v>
      </c>
      <c r="K2" s="51">
        <v>1149454</v>
      </c>
      <c r="L2" s="128">
        <f>SUM(B2:K2)</f>
        <v>29465563</v>
      </c>
    </row>
    <row r="3" spans="1:12" x14ac:dyDescent="0.35">
      <c r="A3" s="7">
        <v>40210</v>
      </c>
      <c r="B3" s="128">
        <v>14293815</v>
      </c>
      <c r="C3" s="50">
        <v>4246679</v>
      </c>
      <c r="D3" s="51">
        <v>1619517</v>
      </c>
      <c r="E3" s="51">
        <v>3561820</v>
      </c>
      <c r="F3" s="51">
        <v>43666</v>
      </c>
      <c r="G3" s="51">
        <v>0</v>
      </c>
      <c r="H3" s="51">
        <v>237618</v>
      </c>
      <c r="I3" s="51">
        <v>0</v>
      </c>
      <c r="J3" s="51">
        <v>233930</v>
      </c>
      <c r="K3" s="51">
        <v>1657792</v>
      </c>
      <c r="L3" s="128">
        <f t="shared" ref="L3:L66" si="0">SUM(B3:K3)</f>
        <v>25894837</v>
      </c>
    </row>
    <row r="4" spans="1:12" x14ac:dyDescent="0.35">
      <c r="A4" s="7">
        <v>40238</v>
      </c>
      <c r="B4" s="128">
        <v>19530385</v>
      </c>
      <c r="C4" s="50">
        <v>5422758</v>
      </c>
      <c r="D4" s="51">
        <v>2112872</v>
      </c>
      <c r="E4" s="51">
        <v>4481520</v>
      </c>
      <c r="F4" s="51">
        <v>83109</v>
      </c>
      <c r="G4" s="51">
        <v>0</v>
      </c>
      <c r="H4" s="51">
        <v>289988</v>
      </c>
      <c r="I4" s="51">
        <v>0</v>
      </c>
      <c r="J4" s="51">
        <v>232146</v>
      </c>
      <c r="K4" s="51">
        <v>1785683</v>
      </c>
      <c r="L4" s="128">
        <f t="shared" si="0"/>
        <v>33938461</v>
      </c>
    </row>
    <row r="5" spans="1:12" x14ac:dyDescent="0.35">
      <c r="A5" s="7">
        <v>40269</v>
      </c>
      <c r="B5" s="128">
        <v>20354838</v>
      </c>
      <c r="C5" s="50">
        <v>4553291</v>
      </c>
      <c r="D5" s="51">
        <v>1606490</v>
      </c>
      <c r="E5" s="51">
        <v>4682336</v>
      </c>
      <c r="F5" s="51">
        <v>41275</v>
      </c>
      <c r="G5" s="51">
        <v>0</v>
      </c>
      <c r="H5" s="51">
        <v>299832</v>
      </c>
      <c r="I5" s="51">
        <v>0</v>
      </c>
      <c r="J5" s="51">
        <v>256079</v>
      </c>
      <c r="K5" s="51">
        <v>1921872</v>
      </c>
      <c r="L5" s="128">
        <f t="shared" si="0"/>
        <v>33716013</v>
      </c>
    </row>
    <row r="6" spans="1:12" x14ac:dyDescent="0.35">
      <c r="A6" s="7">
        <v>40299</v>
      </c>
      <c r="B6" s="128">
        <v>19051897</v>
      </c>
      <c r="C6" s="50">
        <v>4692518</v>
      </c>
      <c r="D6" s="51">
        <v>1660545</v>
      </c>
      <c r="E6" s="51">
        <v>4087435</v>
      </c>
      <c r="F6" s="51">
        <v>55462</v>
      </c>
      <c r="G6" s="51">
        <v>410</v>
      </c>
      <c r="H6" s="51">
        <v>382825</v>
      </c>
      <c r="I6" s="51">
        <v>0</v>
      </c>
      <c r="J6" s="51">
        <v>259228</v>
      </c>
      <c r="K6" s="51">
        <v>1918666</v>
      </c>
      <c r="L6" s="128">
        <f t="shared" si="0"/>
        <v>32108986</v>
      </c>
    </row>
    <row r="7" spans="1:12" x14ac:dyDescent="0.35">
      <c r="A7" s="7">
        <v>40330</v>
      </c>
      <c r="B7" s="128">
        <v>21716226</v>
      </c>
      <c r="C7" s="50">
        <v>5129477</v>
      </c>
      <c r="D7" s="51">
        <v>1848412</v>
      </c>
      <c r="E7" s="51">
        <v>4553489</v>
      </c>
      <c r="F7" s="51">
        <v>58888</v>
      </c>
      <c r="G7" s="51">
        <v>0</v>
      </c>
      <c r="H7" s="51">
        <v>300776</v>
      </c>
      <c r="I7" s="51">
        <v>0</v>
      </c>
      <c r="J7" s="51">
        <v>241692</v>
      </c>
      <c r="K7" s="51">
        <v>2084253</v>
      </c>
      <c r="L7" s="128">
        <f t="shared" si="0"/>
        <v>35933213</v>
      </c>
    </row>
    <row r="8" spans="1:12" x14ac:dyDescent="0.35">
      <c r="A8" s="7">
        <v>40360</v>
      </c>
      <c r="B8" s="128">
        <v>17636243</v>
      </c>
      <c r="C8" s="50">
        <v>5174343</v>
      </c>
      <c r="D8" s="51">
        <v>1877243</v>
      </c>
      <c r="E8" s="51">
        <v>4142255</v>
      </c>
      <c r="F8" s="51">
        <v>27537</v>
      </c>
      <c r="G8" s="51">
        <v>0</v>
      </c>
      <c r="H8" s="51">
        <v>331041</v>
      </c>
      <c r="I8" s="51">
        <v>0</v>
      </c>
      <c r="J8" s="51">
        <v>206298</v>
      </c>
      <c r="K8" s="51">
        <v>1744846</v>
      </c>
      <c r="L8" s="128">
        <f t="shared" si="0"/>
        <v>31139806</v>
      </c>
    </row>
    <row r="9" spans="1:12" x14ac:dyDescent="0.35">
      <c r="A9" s="7">
        <v>40391</v>
      </c>
      <c r="B9" s="128">
        <v>19890483</v>
      </c>
      <c r="C9" s="50">
        <v>4828266</v>
      </c>
      <c r="D9" s="51">
        <v>1620234</v>
      </c>
      <c r="E9" s="51">
        <v>4825078</v>
      </c>
      <c r="F9" s="51">
        <v>33333</v>
      </c>
      <c r="G9" s="51">
        <v>0</v>
      </c>
      <c r="H9" s="51">
        <v>260801</v>
      </c>
      <c r="I9" s="51">
        <v>0</v>
      </c>
      <c r="J9" s="51">
        <v>263176</v>
      </c>
      <c r="K9" s="51">
        <v>2016026</v>
      </c>
      <c r="L9" s="128">
        <f t="shared" si="0"/>
        <v>33737397</v>
      </c>
    </row>
    <row r="10" spans="1:12" x14ac:dyDescent="0.35">
      <c r="A10" s="7">
        <v>40422</v>
      </c>
      <c r="B10" s="128">
        <v>19079193</v>
      </c>
      <c r="C10" s="50">
        <v>4873233</v>
      </c>
      <c r="D10" s="51">
        <v>1785299</v>
      </c>
      <c r="E10" s="51">
        <v>4669988</v>
      </c>
      <c r="F10" s="51">
        <v>56271</v>
      </c>
      <c r="G10" s="51">
        <v>0</v>
      </c>
      <c r="H10" s="51">
        <v>179896</v>
      </c>
      <c r="I10" s="51">
        <v>0</v>
      </c>
      <c r="J10" s="51">
        <v>239495</v>
      </c>
      <c r="K10" s="51">
        <v>1803999</v>
      </c>
      <c r="L10" s="128">
        <f t="shared" si="0"/>
        <v>32687374</v>
      </c>
    </row>
    <row r="11" spans="1:12" x14ac:dyDescent="0.35">
      <c r="A11" s="7">
        <v>40452</v>
      </c>
      <c r="B11" s="128">
        <v>19209252</v>
      </c>
      <c r="C11" s="50">
        <v>4909474</v>
      </c>
      <c r="D11" s="51">
        <v>1606659</v>
      </c>
      <c r="E11" s="51">
        <v>4713311</v>
      </c>
      <c r="F11" s="51">
        <v>43265</v>
      </c>
      <c r="G11" s="51">
        <v>0</v>
      </c>
      <c r="H11" s="51">
        <v>213280</v>
      </c>
      <c r="I11" s="51">
        <v>0</v>
      </c>
      <c r="J11" s="51">
        <v>222940</v>
      </c>
      <c r="K11" s="51">
        <v>1275355</v>
      </c>
      <c r="L11" s="128">
        <f t="shared" si="0"/>
        <v>32193536</v>
      </c>
    </row>
    <row r="12" spans="1:12" x14ac:dyDescent="0.35">
      <c r="A12" s="7">
        <v>40483</v>
      </c>
      <c r="B12" s="128">
        <v>17079895</v>
      </c>
      <c r="C12" s="50">
        <v>4165418</v>
      </c>
      <c r="D12" s="51">
        <v>1900870</v>
      </c>
      <c r="E12" s="51">
        <v>4853940</v>
      </c>
      <c r="F12" s="51">
        <v>30184</v>
      </c>
      <c r="G12" s="51">
        <v>0</v>
      </c>
      <c r="H12" s="51">
        <v>73160</v>
      </c>
      <c r="I12" s="51">
        <v>0</v>
      </c>
      <c r="J12" s="51">
        <v>211319</v>
      </c>
      <c r="K12" s="51">
        <v>1185580</v>
      </c>
      <c r="L12" s="128">
        <f t="shared" si="0"/>
        <v>29500366</v>
      </c>
    </row>
    <row r="13" spans="1:12" x14ac:dyDescent="0.35">
      <c r="A13" s="7">
        <v>40513</v>
      </c>
      <c r="B13" s="128">
        <v>18209137</v>
      </c>
      <c r="C13" s="50">
        <v>4496433</v>
      </c>
      <c r="D13" s="51">
        <v>1942008</v>
      </c>
      <c r="E13" s="51">
        <v>4762100</v>
      </c>
      <c r="F13" s="51">
        <v>71566</v>
      </c>
      <c r="G13" s="51">
        <v>0</v>
      </c>
      <c r="H13" s="51">
        <v>107293</v>
      </c>
      <c r="I13" s="51">
        <v>403259</v>
      </c>
      <c r="J13" s="51">
        <v>222104</v>
      </c>
      <c r="K13" s="51">
        <v>1218617</v>
      </c>
      <c r="L13" s="128">
        <f t="shared" si="0"/>
        <v>31432517</v>
      </c>
    </row>
    <row r="14" spans="1:12" x14ac:dyDescent="0.35">
      <c r="A14" s="7">
        <v>40544</v>
      </c>
      <c r="B14" s="128">
        <v>20313774</v>
      </c>
      <c r="C14" s="50">
        <v>3893246</v>
      </c>
      <c r="D14" s="51">
        <v>1686836</v>
      </c>
      <c r="E14" s="51">
        <v>4206426</v>
      </c>
      <c r="F14" s="51">
        <v>89730</v>
      </c>
      <c r="G14" s="51">
        <v>0</v>
      </c>
      <c r="H14" s="51">
        <v>129387</v>
      </c>
      <c r="I14" s="51">
        <v>0</v>
      </c>
      <c r="J14" s="51">
        <v>186528</v>
      </c>
      <c r="K14" s="51">
        <v>913668</v>
      </c>
      <c r="L14" s="128">
        <f t="shared" si="0"/>
        <v>31419595</v>
      </c>
    </row>
    <row r="15" spans="1:12" x14ac:dyDescent="0.35">
      <c r="A15" s="7">
        <v>40575</v>
      </c>
      <c r="B15" s="128">
        <v>17099647</v>
      </c>
      <c r="C15" s="50">
        <v>4545641</v>
      </c>
      <c r="D15" s="51">
        <v>2091536</v>
      </c>
      <c r="E15" s="51">
        <v>4793558</v>
      </c>
      <c r="F15" s="51">
        <v>108441</v>
      </c>
      <c r="G15" s="51">
        <v>0</v>
      </c>
      <c r="H15" s="51">
        <v>292802</v>
      </c>
      <c r="I15" s="51">
        <v>0</v>
      </c>
      <c r="J15" s="51">
        <v>231447</v>
      </c>
      <c r="K15" s="51">
        <v>1271211</v>
      </c>
      <c r="L15" s="128">
        <f t="shared" si="0"/>
        <v>30434283</v>
      </c>
    </row>
    <row r="16" spans="1:12" x14ac:dyDescent="0.35">
      <c r="A16" s="7">
        <v>40603</v>
      </c>
      <c r="B16" s="128">
        <v>21252033</v>
      </c>
      <c r="C16" s="50">
        <v>5420066</v>
      </c>
      <c r="D16" s="51">
        <v>2094938</v>
      </c>
      <c r="E16" s="51">
        <v>5407392</v>
      </c>
      <c r="F16" s="51">
        <v>115018</v>
      </c>
      <c r="G16" s="51">
        <v>0</v>
      </c>
      <c r="H16" s="51">
        <v>314408</v>
      </c>
      <c r="I16" s="51">
        <v>0</v>
      </c>
      <c r="J16" s="51">
        <v>230019</v>
      </c>
      <c r="K16" s="51">
        <v>1630592</v>
      </c>
      <c r="L16" s="128">
        <f t="shared" si="0"/>
        <v>36464466</v>
      </c>
    </row>
    <row r="17" spans="1:12" x14ac:dyDescent="0.35">
      <c r="A17" s="7">
        <v>40634</v>
      </c>
      <c r="B17" s="128">
        <v>20267961</v>
      </c>
      <c r="C17" s="50">
        <v>4841604</v>
      </c>
      <c r="D17" s="51">
        <v>1883823</v>
      </c>
      <c r="E17" s="51">
        <v>4560276</v>
      </c>
      <c r="F17" s="51">
        <v>278800</v>
      </c>
      <c r="G17" s="51">
        <v>0</v>
      </c>
      <c r="H17" s="51">
        <v>175102</v>
      </c>
      <c r="I17" s="51">
        <v>0</v>
      </c>
      <c r="J17" s="51">
        <v>212744</v>
      </c>
      <c r="K17" s="51">
        <v>1477452</v>
      </c>
      <c r="L17" s="128">
        <f t="shared" si="0"/>
        <v>33697762</v>
      </c>
    </row>
    <row r="18" spans="1:12" x14ac:dyDescent="0.35">
      <c r="A18" s="7">
        <v>40664</v>
      </c>
      <c r="B18" s="128">
        <v>22753136</v>
      </c>
      <c r="C18" s="50">
        <v>4801237</v>
      </c>
      <c r="D18" s="51">
        <v>1970027</v>
      </c>
      <c r="E18" s="51">
        <v>5915379</v>
      </c>
      <c r="F18" s="51">
        <v>172562</v>
      </c>
      <c r="G18" s="51">
        <v>1348</v>
      </c>
      <c r="H18" s="51">
        <v>480927</v>
      </c>
      <c r="I18" s="51">
        <v>2500000</v>
      </c>
      <c r="J18" s="51">
        <v>234542</v>
      </c>
      <c r="K18" s="51">
        <v>1410609</v>
      </c>
      <c r="L18" s="128">
        <f t="shared" si="0"/>
        <v>40239767</v>
      </c>
    </row>
    <row r="19" spans="1:12" x14ac:dyDescent="0.35">
      <c r="A19" s="7">
        <v>40695</v>
      </c>
      <c r="B19" s="128">
        <v>23731628</v>
      </c>
      <c r="C19" s="50">
        <v>5363438</v>
      </c>
      <c r="D19" s="51">
        <v>2444966</v>
      </c>
      <c r="E19" s="51">
        <v>5517419</v>
      </c>
      <c r="F19" s="51">
        <v>172158</v>
      </c>
      <c r="G19" s="51">
        <v>0</v>
      </c>
      <c r="H19" s="51">
        <v>361198</v>
      </c>
      <c r="I19" s="51">
        <v>0</v>
      </c>
      <c r="J19" s="51">
        <v>248147</v>
      </c>
      <c r="K19" s="51">
        <v>1621291</v>
      </c>
      <c r="L19" s="128">
        <f t="shared" si="0"/>
        <v>39460245</v>
      </c>
    </row>
    <row r="20" spans="1:12" x14ac:dyDescent="0.35">
      <c r="A20" s="7">
        <v>40725</v>
      </c>
      <c r="B20" s="128">
        <v>17636243</v>
      </c>
      <c r="C20" s="50">
        <v>5174343</v>
      </c>
      <c r="D20" s="51">
        <v>1877243</v>
      </c>
      <c r="E20" s="51">
        <v>4173076</v>
      </c>
      <c r="F20" s="51">
        <v>27537</v>
      </c>
      <c r="G20" s="51">
        <v>0</v>
      </c>
      <c r="H20" s="51">
        <v>331041</v>
      </c>
      <c r="I20" s="51">
        <v>0</v>
      </c>
      <c r="J20" s="51">
        <v>206298</v>
      </c>
      <c r="K20" s="51">
        <v>1741747</v>
      </c>
      <c r="L20" s="128">
        <f t="shared" si="0"/>
        <v>31167528</v>
      </c>
    </row>
    <row r="21" spans="1:12" x14ac:dyDescent="0.35">
      <c r="A21" s="7">
        <v>40756</v>
      </c>
      <c r="B21" s="128">
        <v>21774183</v>
      </c>
      <c r="C21" s="50">
        <v>5391631</v>
      </c>
      <c r="D21" s="51">
        <v>1987863</v>
      </c>
      <c r="E21" s="51">
        <v>5328478</v>
      </c>
      <c r="F21" s="51">
        <v>118488</v>
      </c>
      <c r="G21" s="51">
        <v>0</v>
      </c>
      <c r="H21" s="51">
        <v>204683</v>
      </c>
      <c r="I21" s="51">
        <v>0</v>
      </c>
      <c r="J21" s="51">
        <v>249410</v>
      </c>
      <c r="K21" s="51">
        <v>1558592</v>
      </c>
      <c r="L21" s="128">
        <f t="shared" si="0"/>
        <v>36613328</v>
      </c>
    </row>
    <row r="22" spans="1:12" x14ac:dyDescent="0.35">
      <c r="A22" s="7">
        <v>40787</v>
      </c>
      <c r="B22" s="128">
        <v>20696751</v>
      </c>
      <c r="C22" s="50">
        <v>5324328</v>
      </c>
      <c r="D22" s="51">
        <v>2109585</v>
      </c>
      <c r="E22" s="51">
        <v>3834290</v>
      </c>
      <c r="F22" s="51">
        <v>83457</v>
      </c>
      <c r="G22" s="51">
        <v>0</v>
      </c>
      <c r="H22" s="51">
        <v>149712</v>
      </c>
      <c r="I22" s="51">
        <v>0</v>
      </c>
      <c r="J22" s="51">
        <v>219476</v>
      </c>
      <c r="K22" s="51">
        <v>1405828</v>
      </c>
      <c r="L22" s="128">
        <f t="shared" si="0"/>
        <v>33823427</v>
      </c>
    </row>
    <row r="23" spans="1:12" x14ac:dyDescent="0.35">
      <c r="A23" s="7">
        <v>40817</v>
      </c>
      <c r="B23" s="128">
        <v>20524579</v>
      </c>
      <c r="C23" s="50">
        <v>4861912</v>
      </c>
      <c r="D23" s="51">
        <v>2024043</v>
      </c>
      <c r="E23" s="51">
        <v>4975601</v>
      </c>
      <c r="F23" s="51">
        <v>66635</v>
      </c>
      <c r="G23" s="51">
        <v>18300</v>
      </c>
      <c r="H23" s="51">
        <v>128389</v>
      </c>
      <c r="I23" s="51">
        <v>0</v>
      </c>
      <c r="J23" s="51">
        <v>238683</v>
      </c>
      <c r="K23" s="51">
        <v>1428356</v>
      </c>
      <c r="L23" s="128">
        <f t="shared" si="0"/>
        <v>34266498</v>
      </c>
    </row>
    <row r="24" spans="1:12" x14ac:dyDescent="0.35">
      <c r="A24" s="7">
        <v>40848</v>
      </c>
      <c r="B24" s="128">
        <v>21573038</v>
      </c>
      <c r="C24" s="50">
        <v>3994591</v>
      </c>
      <c r="D24" s="51">
        <v>1784211</v>
      </c>
      <c r="E24" s="51">
        <v>4878632</v>
      </c>
      <c r="F24" s="51">
        <v>85720</v>
      </c>
      <c r="G24" s="51">
        <v>0</v>
      </c>
      <c r="H24" s="51">
        <v>64811</v>
      </c>
      <c r="I24" s="51">
        <v>0</v>
      </c>
      <c r="J24" s="51">
        <v>206509</v>
      </c>
      <c r="K24" s="51">
        <v>1222340</v>
      </c>
      <c r="L24" s="128">
        <f t="shared" si="0"/>
        <v>33809852</v>
      </c>
    </row>
    <row r="25" spans="1:12" x14ac:dyDescent="0.35">
      <c r="A25" s="7">
        <v>40878</v>
      </c>
      <c r="B25" s="128">
        <v>19763619</v>
      </c>
      <c r="C25" s="50">
        <v>4971141</v>
      </c>
      <c r="D25" s="51">
        <v>1643823</v>
      </c>
      <c r="E25" s="51">
        <v>6044497</v>
      </c>
      <c r="F25" s="51">
        <v>-14903</v>
      </c>
      <c r="G25" s="51">
        <v>1445</v>
      </c>
      <c r="H25" s="51">
        <v>69642</v>
      </c>
      <c r="I25" s="51">
        <v>0</v>
      </c>
      <c r="J25" s="51">
        <v>226625</v>
      </c>
      <c r="K25" s="51">
        <v>1253952</v>
      </c>
      <c r="L25" s="128">
        <f t="shared" si="0"/>
        <v>33959841</v>
      </c>
    </row>
    <row r="26" spans="1:12" x14ac:dyDescent="0.35">
      <c r="A26" s="7">
        <v>40909</v>
      </c>
      <c r="B26" s="128">
        <v>23321088</v>
      </c>
      <c r="C26" s="50">
        <v>4186478</v>
      </c>
      <c r="D26" s="51">
        <v>1719934</v>
      </c>
      <c r="E26" s="51">
        <v>5319112</v>
      </c>
      <c r="F26" s="51">
        <v>87081</v>
      </c>
      <c r="G26" s="51">
        <v>0</v>
      </c>
      <c r="H26" s="51">
        <v>100095</v>
      </c>
      <c r="I26" s="51">
        <v>0</v>
      </c>
      <c r="J26" s="51">
        <v>194634</v>
      </c>
      <c r="K26" s="51">
        <v>1230458</v>
      </c>
      <c r="L26" s="128">
        <f t="shared" si="0"/>
        <v>36158880</v>
      </c>
    </row>
    <row r="27" spans="1:12" x14ac:dyDescent="0.35">
      <c r="A27" s="7">
        <v>40940</v>
      </c>
      <c r="B27" s="128">
        <v>18395124</v>
      </c>
      <c r="C27" s="50">
        <v>4943241</v>
      </c>
      <c r="D27" s="51">
        <v>1594391</v>
      </c>
      <c r="E27" s="51">
        <v>5091840</v>
      </c>
      <c r="F27" s="51">
        <v>66847</v>
      </c>
      <c r="G27" s="51">
        <v>26435</v>
      </c>
      <c r="H27" s="51">
        <v>147161</v>
      </c>
      <c r="I27" s="51">
        <v>0</v>
      </c>
      <c r="J27" s="51">
        <v>237084</v>
      </c>
      <c r="K27" s="51">
        <v>1684248</v>
      </c>
      <c r="L27" s="128">
        <f t="shared" si="0"/>
        <v>32186371</v>
      </c>
    </row>
    <row r="28" spans="1:12" x14ac:dyDescent="0.35">
      <c r="A28" s="7">
        <v>40969</v>
      </c>
      <c r="B28" s="128">
        <v>23664816</v>
      </c>
      <c r="C28" s="50">
        <v>5736556</v>
      </c>
      <c r="D28" s="51">
        <v>1815890</v>
      </c>
      <c r="E28" s="51">
        <v>6167150</v>
      </c>
      <c r="F28" s="51">
        <v>126964</v>
      </c>
      <c r="G28" s="51">
        <v>0</v>
      </c>
      <c r="H28" s="51">
        <v>273103</v>
      </c>
      <c r="I28" s="51">
        <v>0</v>
      </c>
      <c r="J28" s="51">
        <v>234463</v>
      </c>
      <c r="K28" s="51">
        <v>2488729</v>
      </c>
      <c r="L28" s="128">
        <f t="shared" si="0"/>
        <v>40507671</v>
      </c>
    </row>
    <row r="29" spans="1:12" x14ac:dyDescent="0.35">
      <c r="A29" s="7">
        <v>41000</v>
      </c>
      <c r="B29" s="128">
        <v>23693169</v>
      </c>
      <c r="C29" s="50">
        <v>4976986</v>
      </c>
      <c r="D29" s="51">
        <v>1625817</v>
      </c>
      <c r="E29" s="51">
        <v>5165535</v>
      </c>
      <c r="F29" s="51">
        <v>96898</v>
      </c>
      <c r="G29" s="51">
        <v>0</v>
      </c>
      <c r="H29" s="51">
        <v>253862</v>
      </c>
      <c r="I29" s="51">
        <v>0</v>
      </c>
      <c r="J29" s="51">
        <v>255541</v>
      </c>
      <c r="K29" s="51">
        <v>1605120</v>
      </c>
      <c r="L29" s="128">
        <f t="shared" si="0"/>
        <v>37672928</v>
      </c>
    </row>
    <row r="30" spans="1:12" x14ac:dyDescent="0.35">
      <c r="A30" s="7">
        <v>41030</v>
      </c>
      <c r="B30" s="128">
        <v>22816631</v>
      </c>
      <c r="C30" s="50">
        <v>5466394</v>
      </c>
      <c r="D30" s="51">
        <v>1757518</v>
      </c>
      <c r="E30" s="51">
        <v>5743923</v>
      </c>
      <c r="F30" s="51">
        <v>73748</v>
      </c>
      <c r="G30" s="51">
        <v>0</v>
      </c>
      <c r="H30" s="51">
        <v>433345</v>
      </c>
      <c r="I30" s="51">
        <v>0</v>
      </c>
      <c r="J30" s="51">
        <v>218123</v>
      </c>
      <c r="K30" s="51">
        <v>1770064</v>
      </c>
      <c r="L30" s="128">
        <f t="shared" si="0"/>
        <v>38279746</v>
      </c>
    </row>
    <row r="31" spans="1:12" x14ac:dyDescent="0.35">
      <c r="A31" s="7">
        <v>41061</v>
      </c>
      <c r="B31" s="128">
        <v>22232071</v>
      </c>
      <c r="C31" s="50">
        <v>5534869</v>
      </c>
      <c r="D31" s="51">
        <v>1760188</v>
      </c>
      <c r="E31" s="51">
        <v>6384595</v>
      </c>
      <c r="F31" s="51">
        <v>99758</v>
      </c>
      <c r="G31" s="51">
        <v>0</v>
      </c>
      <c r="H31" s="51">
        <v>621868</v>
      </c>
      <c r="I31" s="51">
        <v>0</v>
      </c>
      <c r="J31" s="51">
        <v>240352</v>
      </c>
      <c r="K31" s="51">
        <v>1606226</v>
      </c>
      <c r="L31" s="128">
        <f t="shared" si="0"/>
        <v>38479927</v>
      </c>
    </row>
    <row r="32" spans="1:12" x14ac:dyDescent="0.35">
      <c r="A32" s="7">
        <v>41091</v>
      </c>
      <c r="B32" s="128">
        <v>20972721</v>
      </c>
      <c r="C32" s="50">
        <v>5007684</v>
      </c>
      <c r="D32" s="51">
        <v>1842111</v>
      </c>
      <c r="E32" s="51">
        <v>5378418</v>
      </c>
      <c r="F32" s="51">
        <v>85628</v>
      </c>
      <c r="G32" s="51">
        <v>16520</v>
      </c>
      <c r="H32" s="51">
        <v>206517</v>
      </c>
      <c r="I32" s="51">
        <v>0</v>
      </c>
      <c r="J32" s="51">
        <v>227986</v>
      </c>
      <c r="K32" s="51">
        <v>1539163</v>
      </c>
      <c r="L32" s="128">
        <f t="shared" si="0"/>
        <v>35276748</v>
      </c>
    </row>
    <row r="33" spans="1:12" x14ac:dyDescent="0.35">
      <c r="A33" s="7">
        <v>41122</v>
      </c>
      <c r="B33" s="128">
        <v>22133380</v>
      </c>
      <c r="C33" s="50">
        <v>5879835</v>
      </c>
      <c r="D33" s="51">
        <v>1713683</v>
      </c>
      <c r="E33" s="51">
        <v>6022851</v>
      </c>
      <c r="F33" s="51">
        <v>121046</v>
      </c>
      <c r="G33" s="51">
        <v>3678</v>
      </c>
      <c r="H33" s="51">
        <v>362885</v>
      </c>
      <c r="I33" s="51">
        <v>22790</v>
      </c>
      <c r="J33" s="51">
        <v>251442</v>
      </c>
      <c r="K33" s="51">
        <v>1629136</v>
      </c>
      <c r="L33" s="128">
        <f t="shared" si="0"/>
        <v>38140726</v>
      </c>
    </row>
    <row r="34" spans="1:12" x14ac:dyDescent="0.35">
      <c r="A34" s="7">
        <v>41153</v>
      </c>
      <c r="B34" s="128">
        <v>22481331</v>
      </c>
      <c r="C34" s="50">
        <v>5378619</v>
      </c>
      <c r="D34" s="51">
        <v>1642987</v>
      </c>
      <c r="E34" s="51">
        <v>6476311</v>
      </c>
      <c r="F34" s="51">
        <v>137070</v>
      </c>
      <c r="G34" s="51">
        <v>1135</v>
      </c>
      <c r="H34" s="51">
        <v>149775</v>
      </c>
      <c r="I34" s="51">
        <v>0</v>
      </c>
      <c r="J34" s="51">
        <v>280508</v>
      </c>
      <c r="K34" s="51">
        <v>1582777</v>
      </c>
      <c r="L34" s="128">
        <f t="shared" si="0"/>
        <v>38130513</v>
      </c>
    </row>
    <row r="35" spans="1:12" x14ac:dyDescent="0.35">
      <c r="A35" s="7">
        <v>41183</v>
      </c>
      <c r="B35" s="128">
        <v>24141293</v>
      </c>
      <c r="C35" s="50">
        <v>5467010</v>
      </c>
      <c r="D35" s="51">
        <v>1754370</v>
      </c>
      <c r="E35" s="51">
        <v>5625371</v>
      </c>
      <c r="F35" s="51">
        <v>100334</v>
      </c>
      <c r="G35" s="51">
        <v>0</v>
      </c>
      <c r="H35" s="51">
        <v>177724</v>
      </c>
      <c r="I35" s="51">
        <v>5675</v>
      </c>
      <c r="J35" s="51">
        <v>236469</v>
      </c>
      <c r="K35" s="51">
        <v>1393256</v>
      </c>
      <c r="L35" s="128">
        <f t="shared" si="0"/>
        <v>38901502</v>
      </c>
    </row>
    <row r="36" spans="1:12" x14ac:dyDescent="0.35">
      <c r="A36" s="7">
        <v>41214</v>
      </c>
      <c r="B36" s="128">
        <v>22923010</v>
      </c>
      <c r="C36" s="50">
        <v>4837122</v>
      </c>
      <c r="D36" s="51">
        <v>2298113</v>
      </c>
      <c r="E36" s="51">
        <v>5267234</v>
      </c>
      <c r="F36" s="51">
        <v>85818</v>
      </c>
      <c r="G36" s="51">
        <v>0</v>
      </c>
      <c r="H36" s="51">
        <v>80183</v>
      </c>
      <c r="I36" s="51">
        <v>6660</v>
      </c>
      <c r="J36" s="51">
        <v>200119</v>
      </c>
      <c r="K36" s="51">
        <v>1431765</v>
      </c>
      <c r="L36" s="128">
        <f t="shared" si="0"/>
        <v>37130024</v>
      </c>
    </row>
    <row r="37" spans="1:12" x14ac:dyDescent="0.35">
      <c r="A37" s="7">
        <v>41244</v>
      </c>
      <c r="B37" s="128">
        <v>21995091</v>
      </c>
      <c r="C37" s="50">
        <v>4445692</v>
      </c>
      <c r="D37" s="51">
        <v>1661002</v>
      </c>
      <c r="E37" s="51">
        <v>5359696</v>
      </c>
      <c r="F37" s="51">
        <v>154930</v>
      </c>
      <c r="G37" s="51">
        <v>0</v>
      </c>
      <c r="H37" s="51">
        <v>185170</v>
      </c>
      <c r="I37" s="51">
        <v>375</v>
      </c>
      <c r="J37" s="51">
        <v>225129</v>
      </c>
      <c r="K37" s="51">
        <v>2212054</v>
      </c>
      <c r="L37" s="128">
        <f t="shared" si="0"/>
        <v>36239139</v>
      </c>
    </row>
    <row r="38" spans="1:12" x14ac:dyDescent="0.35">
      <c r="A38" s="7">
        <v>41275</v>
      </c>
      <c r="B38" s="128">
        <v>25105343</v>
      </c>
      <c r="C38" s="50">
        <v>4829634</v>
      </c>
      <c r="D38" s="51">
        <v>2220060</v>
      </c>
      <c r="E38" s="51">
        <v>6121634</v>
      </c>
      <c r="F38" s="51">
        <v>58888</v>
      </c>
      <c r="G38" s="51">
        <v>1492</v>
      </c>
      <c r="H38" s="51">
        <v>88279</v>
      </c>
      <c r="I38" s="51">
        <v>2650</v>
      </c>
      <c r="J38" s="51">
        <v>181700</v>
      </c>
      <c r="K38" s="51">
        <v>1276322</v>
      </c>
      <c r="L38" s="128">
        <f t="shared" si="0"/>
        <v>39886002</v>
      </c>
    </row>
    <row r="39" spans="1:12" x14ac:dyDescent="0.35">
      <c r="A39" s="7">
        <v>41306</v>
      </c>
      <c r="B39" s="128">
        <v>21323584</v>
      </c>
      <c r="C39" s="50">
        <v>5176477</v>
      </c>
      <c r="D39" s="51">
        <v>1575383</v>
      </c>
      <c r="E39" s="51">
        <v>4613872</v>
      </c>
      <c r="F39" s="51">
        <v>68157</v>
      </c>
      <c r="G39" s="51">
        <v>0</v>
      </c>
      <c r="H39" s="51">
        <v>281310</v>
      </c>
      <c r="I39" s="51">
        <v>1550</v>
      </c>
      <c r="J39" s="51">
        <v>202220</v>
      </c>
      <c r="K39" s="51">
        <v>1367384</v>
      </c>
      <c r="L39" s="128">
        <f t="shared" si="0"/>
        <v>34609937</v>
      </c>
    </row>
    <row r="40" spans="1:12" x14ac:dyDescent="0.35">
      <c r="A40" s="7">
        <v>41334</v>
      </c>
      <c r="B40" s="128">
        <v>22737403</v>
      </c>
      <c r="C40" s="50">
        <v>6842545</v>
      </c>
      <c r="D40" s="51">
        <v>1731973</v>
      </c>
      <c r="E40" s="51">
        <v>5666634</v>
      </c>
      <c r="F40" s="51">
        <v>91977</v>
      </c>
      <c r="G40" s="51">
        <v>0</v>
      </c>
      <c r="H40" s="51">
        <v>303799</v>
      </c>
      <c r="I40" s="51">
        <v>10241</v>
      </c>
      <c r="J40" s="51">
        <v>232939</v>
      </c>
      <c r="K40" s="51">
        <v>1800869</v>
      </c>
      <c r="L40" s="128">
        <f t="shared" si="0"/>
        <v>39418380</v>
      </c>
    </row>
    <row r="41" spans="1:12" x14ac:dyDescent="0.35">
      <c r="A41" s="7">
        <v>41365</v>
      </c>
      <c r="B41" s="128">
        <v>26630874</v>
      </c>
      <c r="C41" s="50">
        <v>5647008</v>
      </c>
      <c r="D41" s="51">
        <v>1777658</v>
      </c>
      <c r="E41" s="51">
        <v>6147973</v>
      </c>
      <c r="F41" s="51">
        <v>154158</v>
      </c>
      <c r="G41" s="51">
        <v>0</v>
      </c>
      <c r="H41" s="51">
        <v>327976</v>
      </c>
      <c r="I41" s="51">
        <v>3595</v>
      </c>
      <c r="J41" s="51">
        <v>254002</v>
      </c>
      <c r="K41" s="51">
        <v>1860614</v>
      </c>
      <c r="L41" s="128">
        <f t="shared" si="0"/>
        <v>42803858</v>
      </c>
    </row>
    <row r="42" spans="1:12" x14ac:dyDescent="0.35">
      <c r="A42" s="7">
        <v>41395</v>
      </c>
      <c r="B42" s="128">
        <v>27224997</v>
      </c>
      <c r="C42" s="50">
        <v>5802718</v>
      </c>
      <c r="D42" s="51">
        <v>2372154</v>
      </c>
      <c r="E42" s="51">
        <v>6280334</v>
      </c>
      <c r="F42" s="51">
        <v>59730</v>
      </c>
      <c r="G42" s="51">
        <v>0</v>
      </c>
      <c r="H42" s="51">
        <v>779250</v>
      </c>
      <c r="I42" s="51">
        <v>5190</v>
      </c>
      <c r="J42" s="51">
        <v>235090</v>
      </c>
      <c r="K42" s="51">
        <v>2162762</v>
      </c>
      <c r="L42" s="128">
        <f t="shared" si="0"/>
        <v>44922225</v>
      </c>
    </row>
    <row r="43" spans="1:12" x14ac:dyDescent="0.35">
      <c r="A43" s="7">
        <v>41426</v>
      </c>
      <c r="B43" s="128">
        <v>24230222</v>
      </c>
      <c r="C43" s="50">
        <v>5789836</v>
      </c>
      <c r="D43" s="51">
        <v>1717979</v>
      </c>
      <c r="E43" s="51">
        <v>5533608</v>
      </c>
      <c r="F43" s="51">
        <v>126364</v>
      </c>
      <c r="G43" s="51">
        <v>0</v>
      </c>
      <c r="H43" s="51">
        <v>468017</v>
      </c>
      <c r="I43" s="51">
        <v>2795</v>
      </c>
      <c r="J43" s="51">
        <v>237679</v>
      </c>
      <c r="K43" s="51">
        <v>2230379</v>
      </c>
      <c r="L43" s="128">
        <f t="shared" si="0"/>
        <v>40336879</v>
      </c>
    </row>
    <row r="44" spans="1:12" x14ac:dyDescent="0.35">
      <c r="A44" s="7">
        <v>41456</v>
      </c>
      <c r="B44" s="128">
        <v>27011419</v>
      </c>
      <c r="C44" s="50">
        <v>5616338</v>
      </c>
      <c r="D44" s="51">
        <v>1914248</v>
      </c>
      <c r="E44" s="51">
        <v>5500147</v>
      </c>
      <c r="F44" s="51">
        <v>63092</v>
      </c>
      <c r="G44" s="51">
        <v>55247</v>
      </c>
      <c r="H44" s="51">
        <v>502677</v>
      </c>
      <c r="I44" s="51">
        <v>5000</v>
      </c>
      <c r="J44" s="51">
        <v>235379</v>
      </c>
      <c r="K44" s="51">
        <v>1654333</v>
      </c>
      <c r="L44" s="128">
        <f t="shared" si="0"/>
        <v>42557880</v>
      </c>
    </row>
    <row r="45" spans="1:12" x14ac:dyDescent="0.35">
      <c r="A45" s="7">
        <v>41487</v>
      </c>
      <c r="B45" s="128">
        <v>25697905</v>
      </c>
      <c r="C45" s="50">
        <v>6074666</v>
      </c>
      <c r="D45" s="51">
        <v>1685897</v>
      </c>
      <c r="E45" s="51">
        <v>6374407</v>
      </c>
      <c r="F45" s="51">
        <v>49085</v>
      </c>
      <c r="G45" s="51">
        <v>0</v>
      </c>
      <c r="H45" s="51">
        <v>247698</v>
      </c>
      <c r="I45" s="51">
        <v>2933</v>
      </c>
      <c r="J45" s="51">
        <v>232891</v>
      </c>
      <c r="K45" s="51">
        <v>1741479</v>
      </c>
      <c r="L45" s="128">
        <f t="shared" si="0"/>
        <v>42106961</v>
      </c>
    </row>
    <row r="46" spans="1:12" x14ac:dyDescent="0.35">
      <c r="A46" s="7">
        <v>41518</v>
      </c>
      <c r="B46" s="128">
        <v>30802003</v>
      </c>
      <c r="C46" s="50">
        <v>5762231</v>
      </c>
      <c r="D46" s="51">
        <v>1651149</v>
      </c>
      <c r="E46" s="51">
        <v>6446488</v>
      </c>
      <c r="F46" s="51">
        <v>74771</v>
      </c>
      <c r="G46" s="51">
        <v>0</v>
      </c>
      <c r="H46" s="51">
        <v>175810</v>
      </c>
      <c r="I46" s="51">
        <v>6890</v>
      </c>
      <c r="J46" s="51">
        <v>224237</v>
      </c>
      <c r="K46" s="51">
        <v>1565046</v>
      </c>
      <c r="L46" s="128">
        <f t="shared" si="0"/>
        <v>46708625</v>
      </c>
    </row>
    <row r="47" spans="1:12" x14ac:dyDescent="0.35">
      <c r="A47" s="7">
        <v>41548</v>
      </c>
      <c r="B47" s="128">
        <v>25935131</v>
      </c>
      <c r="C47" s="50">
        <v>5987598</v>
      </c>
      <c r="D47" s="51">
        <v>1655158</v>
      </c>
      <c r="E47" s="51">
        <v>5279614</v>
      </c>
      <c r="F47" s="51">
        <v>78849</v>
      </c>
      <c r="G47" s="51">
        <v>1253</v>
      </c>
      <c r="H47" s="51">
        <v>173377</v>
      </c>
      <c r="I47" s="51">
        <v>0</v>
      </c>
      <c r="J47" s="51">
        <v>207175</v>
      </c>
      <c r="K47" s="51">
        <v>1291180</v>
      </c>
      <c r="L47" s="128">
        <f t="shared" si="0"/>
        <v>40609335</v>
      </c>
    </row>
    <row r="48" spans="1:12" x14ac:dyDescent="0.35">
      <c r="A48" s="7">
        <v>41579</v>
      </c>
      <c r="B48" s="128">
        <v>20641356</v>
      </c>
      <c r="C48" s="50">
        <v>4847078</v>
      </c>
      <c r="D48" s="51">
        <v>1543516</v>
      </c>
      <c r="E48" s="51">
        <v>4027699</v>
      </c>
      <c r="F48" s="51">
        <v>78299</v>
      </c>
      <c r="G48" s="51">
        <v>1620</v>
      </c>
      <c r="H48" s="51">
        <v>109689</v>
      </c>
      <c r="I48" s="51">
        <v>6045</v>
      </c>
      <c r="J48" s="51">
        <v>189410</v>
      </c>
      <c r="K48" s="51">
        <v>1192207</v>
      </c>
      <c r="L48" s="128">
        <f t="shared" si="0"/>
        <v>32636919</v>
      </c>
    </row>
    <row r="49" spans="1:12" x14ac:dyDescent="0.35">
      <c r="A49" s="7">
        <v>41609</v>
      </c>
      <c r="B49" s="128">
        <v>23307028</v>
      </c>
      <c r="C49" s="50">
        <v>5026298</v>
      </c>
      <c r="D49" s="51">
        <v>1662906</v>
      </c>
      <c r="E49" s="51">
        <v>5449192</v>
      </c>
      <c r="F49" s="51">
        <v>127597</v>
      </c>
      <c r="G49" s="51">
        <v>0</v>
      </c>
      <c r="H49" s="51">
        <v>399433</v>
      </c>
      <c r="I49" s="51">
        <v>0</v>
      </c>
      <c r="J49" s="51">
        <v>180623</v>
      </c>
      <c r="K49" s="51">
        <v>1181715</v>
      </c>
      <c r="L49" s="128">
        <f t="shared" si="0"/>
        <v>37334792</v>
      </c>
    </row>
    <row r="50" spans="1:12" x14ac:dyDescent="0.35">
      <c r="A50" s="7">
        <v>41640</v>
      </c>
      <c r="B50" s="128">
        <v>25374541</v>
      </c>
      <c r="C50" s="50">
        <v>4253976</v>
      </c>
      <c r="D50" s="51">
        <v>1687467</v>
      </c>
      <c r="E50" s="51">
        <v>5427269</v>
      </c>
      <c r="F50" s="51">
        <v>107050</v>
      </c>
      <c r="G50" s="51">
        <v>1165</v>
      </c>
      <c r="H50" s="51">
        <v>131151</v>
      </c>
      <c r="I50" s="51">
        <v>2745</v>
      </c>
      <c r="J50" s="51">
        <v>166399</v>
      </c>
      <c r="K50" s="51">
        <v>1241865</v>
      </c>
      <c r="L50" s="128">
        <f t="shared" si="0"/>
        <v>38393628</v>
      </c>
    </row>
    <row r="51" spans="1:12" x14ac:dyDescent="0.35">
      <c r="A51" s="7">
        <v>41671</v>
      </c>
      <c r="B51" s="128">
        <v>23970095</v>
      </c>
      <c r="C51" s="50">
        <v>5025115</v>
      </c>
      <c r="D51" s="51">
        <v>1481604</v>
      </c>
      <c r="E51" s="51">
        <v>4577559</v>
      </c>
      <c r="F51" s="51">
        <v>94015</v>
      </c>
      <c r="G51" s="51">
        <v>720</v>
      </c>
      <c r="H51" s="51">
        <v>89501</v>
      </c>
      <c r="I51" s="51">
        <v>72590</v>
      </c>
      <c r="J51" s="51">
        <v>199375</v>
      </c>
      <c r="K51" s="51">
        <v>1423694</v>
      </c>
      <c r="L51" s="128">
        <f t="shared" si="0"/>
        <v>36934268</v>
      </c>
    </row>
    <row r="52" spans="1:12" x14ac:dyDescent="0.35">
      <c r="A52" s="7">
        <v>41699</v>
      </c>
      <c r="B52" s="128">
        <v>25384210</v>
      </c>
      <c r="C52" s="50">
        <v>5883872</v>
      </c>
      <c r="D52" s="51">
        <v>1850867</v>
      </c>
      <c r="E52" s="51">
        <v>5257640</v>
      </c>
      <c r="F52" s="51">
        <v>98981</v>
      </c>
      <c r="G52" s="51">
        <v>0</v>
      </c>
      <c r="H52" s="51">
        <v>351431</v>
      </c>
      <c r="I52" s="51">
        <v>7218</v>
      </c>
      <c r="J52" s="51">
        <v>202232</v>
      </c>
      <c r="K52" s="51">
        <v>1822090</v>
      </c>
      <c r="L52" s="128">
        <f t="shared" si="0"/>
        <v>40858541</v>
      </c>
    </row>
    <row r="53" spans="1:12" x14ac:dyDescent="0.35">
      <c r="A53" s="7">
        <v>41730</v>
      </c>
      <c r="B53" s="128">
        <v>28157503</v>
      </c>
      <c r="C53" s="50">
        <v>5683745</v>
      </c>
      <c r="D53" s="51">
        <v>1932898</v>
      </c>
      <c r="E53" s="51">
        <v>5064297</v>
      </c>
      <c r="F53" s="51">
        <v>114402</v>
      </c>
      <c r="G53" s="51">
        <v>2566</v>
      </c>
      <c r="H53" s="51">
        <v>328555</v>
      </c>
      <c r="I53" s="51">
        <v>12882</v>
      </c>
      <c r="J53" s="51">
        <v>236872</v>
      </c>
      <c r="K53" s="51">
        <v>1479253</v>
      </c>
      <c r="L53" s="128">
        <f t="shared" si="0"/>
        <v>43012973</v>
      </c>
    </row>
    <row r="54" spans="1:12" x14ac:dyDescent="0.35">
      <c r="A54" s="7">
        <v>41760</v>
      </c>
      <c r="B54" s="128">
        <v>27999298</v>
      </c>
      <c r="C54" s="50">
        <v>6223927</v>
      </c>
      <c r="D54" s="51">
        <v>1683067</v>
      </c>
      <c r="E54" s="51">
        <v>5357360</v>
      </c>
      <c r="F54" s="51">
        <v>72723</v>
      </c>
      <c r="G54" s="51">
        <v>61001</v>
      </c>
      <c r="H54" s="51">
        <v>704653</v>
      </c>
      <c r="I54" s="51">
        <v>10803</v>
      </c>
      <c r="J54" s="51">
        <v>223598</v>
      </c>
      <c r="K54" s="51">
        <v>1496027</v>
      </c>
      <c r="L54" s="128">
        <f t="shared" si="0"/>
        <v>43832457</v>
      </c>
    </row>
    <row r="55" spans="1:12" x14ac:dyDescent="0.35">
      <c r="A55" s="7">
        <v>41791</v>
      </c>
      <c r="B55" s="128">
        <v>27620887</v>
      </c>
      <c r="C55" s="50">
        <v>6298852</v>
      </c>
      <c r="D55" s="51">
        <v>1706023</v>
      </c>
      <c r="E55" s="51">
        <v>5591659</v>
      </c>
      <c r="F55" s="51">
        <v>107772</v>
      </c>
      <c r="G55" s="51">
        <v>11</v>
      </c>
      <c r="H55" s="51">
        <v>447933</v>
      </c>
      <c r="I55" s="51">
        <v>5862</v>
      </c>
      <c r="J55" s="51">
        <v>228333</v>
      </c>
      <c r="K55" s="51">
        <v>1594243</v>
      </c>
      <c r="L55" s="128">
        <f t="shared" si="0"/>
        <v>43601575</v>
      </c>
    </row>
    <row r="56" spans="1:12" x14ac:dyDescent="0.35">
      <c r="A56" s="7">
        <v>41821</v>
      </c>
      <c r="B56" s="128">
        <v>28467976</v>
      </c>
      <c r="C56" s="50">
        <v>5577327</v>
      </c>
      <c r="D56" s="51">
        <v>1795766</v>
      </c>
      <c r="E56" s="51">
        <v>5400788</v>
      </c>
      <c r="F56" s="51">
        <v>166834</v>
      </c>
      <c r="G56" s="51">
        <v>0</v>
      </c>
      <c r="H56" s="51">
        <v>484978</v>
      </c>
      <c r="I56" s="51">
        <v>11657</v>
      </c>
      <c r="J56" s="51">
        <v>231739</v>
      </c>
      <c r="K56" s="51">
        <v>2651145</v>
      </c>
      <c r="L56" s="128">
        <f t="shared" si="0"/>
        <v>44788210</v>
      </c>
    </row>
    <row r="57" spans="1:12" x14ac:dyDescent="0.35">
      <c r="A57" s="7">
        <v>41852</v>
      </c>
      <c r="B57" s="128">
        <v>29378482</v>
      </c>
      <c r="C57" s="50">
        <v>5442327</v>
      </c>
      <c r="D57" s="51">
        <v>1863123</v>
      </c>
      <c r="E57" s="51">
        <v>4652770</v>
      </c>
      <c r="F57" s="51">
        <v>100123</v>
      </c>
      <c r="G57" s="51">
        <v>16508</v>
      </c>
      <c r="H57" s="51">
        <v>187518</v>
      </c>
      <c r="I57" s="51">
        <v>5492</v>
      </c>
      <c r="J57" s="51">
        <v>242571</v>
      </c>
      <c r="K57" s="51">
        <v>1460094</v>
      </c>
      <c r="L57" s="128">
        <f t="shared" si="0"/>
        <v>43349008</v>
      </c>
    </row>
    <row r="58" spans="1:12" x14ac:dyDescent="0.35">
      <c r="A58" s="7">
        <v>41883</v>
      </c>
      <c r="B58" s="128">
        <v>28170388</v>
      </c>
      <c r="C58" s="50">
        <v>5860582</v>
      </c>
      <c r="D58" s="51">
        <v>1904003</v>
      </c>
      <c r="E58" s="51">
        <v>5798809</v>
      </c>
      <c r="F58" s="51">
        <v>130917</v>
      </c>
      <c r="G58" s="51">
        <v>0</v>
      </c>
      <c r="H58" s="51">
        <v>147447</v>
      </c>
      <c r="I58" s="51">
        <v>14902</v>
      </c>
      <c r="J58" s="51">
        <v>237160</v>
      </c>
      <c r="K58" s="51">
        <v>1362243</v>
      </c>
      <c r="L58" s="128">
        <f t="shared" si="0"/>
        <v>43626451</v>
      </c>
    </row>
    <row r="59" spans="1:12" x14ac:dyDescent="0.35">
      <c r="A59" s="7">
        <v>41913</v>
      </c>
      <c r="B59" s="128">
        <v>28569757</v>
      </c>
      <c r="C59" s="50">
        <v>5873946</v>
      </c>
      <c r="D59" s="51">
        <v>2091698</v>
      </c>
      <c r="E59" s="51">
        <v>5734110</v>
      </c>
      <c r="F59" s="51">
        <v>138379</v>
      </c>
      <c r="G59" s="51">
        <v>129</v>
      </c>
      <c r="H59" s="51">
        <v>204788</v>
      </c>
      <c r="I59" s="51">
        <v>23372</v>
      </c>
      <c r="J59" s="51">
        <v>237449</v>
      </c>
      <c r="K59" s="51">
        <v>1374233</v>
      </c>
      <c r="L59" s="128">
        <f t="shared" si="0"/>
        <v>44247861</v>
      </c>
    </row>
    <row r="60" spans="1:12" x14ac:dyDescent="0.35">
      <c r="A60" s="7">
        <v>41944</v>
      </c>
      <c r="B60" s="128">
        <v>21833938</v>
      </c>
      <c r="C60" s="50">
        <v>4945875</v>
      </c>
      <c r="D60" s="51">
        <v>1658283</v>
      </c>
      <c r="E60" s="51">
        <v>4847996</v>
      </c>
      <c r="F60" s="51">
        <v>113444</v>
      </c>
      <c r="G60" s="51">
        <v>3000</v>
      </c>
      <c r="H60" s="51">
        <v>93915</v>
      </c>
      <c r="I60" s="51">
        <v>14123</v>
      </c>
      <c r="J60" s="51">
        <v>206382</v>
      </c>
      <c r="K60" s="51">
        <v>1106590</v>
      </c>
      <c r="L60" s="128">
        <f t="shared" si="0"/>
        <v>34823546</v>
      </c>
    </row>
    <row r="61" spans="1:12" x14ac:dyDescent="0.35">
      <c r="A61" s="7">
        <v>41974</v>
      </c>
      <c r="B61" s="128">
        <v>28125525</v>
      </c>
      <c r="C61" s="50">
        <v>4963468</v>
      </c>
      <c r="D61" s="51">
        <v>1744597</v>
      </c>
      <c r="E61" s="51">
        <v>5576108</v>
      </c>
      <c r="F61" s="51">
        <v>131282</v>
      </c>
      <c r="G61" s="51">
        <v>0</v>
      </c>
      <c r="H61" s="51">
        <v>118263</v>
      </c>
      <c r="I61" s="51">
        <v>73563</v>
      </c>
      <c r="J61" s="51">
        <v>243340</v>
      </c>
      <c r="K61" s="51">
        <v>1536512</v>
      </c>
      <c r="L61" s="128">
        <f t="shared" si="0"/>
        <v>42512658</v>
      </c>
    </row>
    <row r="62" spans="1:12" x14ac:dyDescent="0.35">
      <c r="A62" s="7">
        <v>42005</v>
      </c>
      <c r="B62" s="128">
        <v>29593948</v>
      </c>
      <c r="C62" s="50">
        <v>5511746</v>
      </c>
      <c r="D62" s="51">
        <v>1711998</v>
      </c>
      <c r="E62" s="51">
        <v>4754303</v>
      </c>
      <c r="F62" s="51">
        <v>120121</v>
      </c>
      <c r="G62" s="51">
        <v>0</v>
      </c>
      <c r="H62" s="51">
        <v>241116</v>
      </c>
      <c r="I62" s="51">
        <v>38875</v>
      </c>
      <c r="J62" s="51">
        <v>170666</v>
      </c>
      <c r="K62" s="51">
        <v>1268074</v>
      </c>
      <c r="L62" s="128">
        <f t="shared" si="0"/>
        <v>43410847</v>
      </c>
    </row>
    <row r="63" spans="1:12" x14ac:dyDescent="0.35">
      <c r="A63" s="7">
        <v>42036</v>
      </c>
      <c r="B63" s="128">
        <v>22590220</v>
      </c>
      <c r="C63" s="50">
        <v>5151401</v>
      </c>
      <c r="D63" s="51">
        <v>1703240</v>
      </c>
      <c r="E63" s="51">
        <v>4772567</v>
      </c>
      <c r="F63" s="51">
        <v>78501</v>
      </c>
      <c r="G63" s="51">
        <v>0</v>
      </c>
      <c r="H63" s="51">
        <v>184052</v>
      </c>
      <c r="I63" s="51">
        <v>23874</v>
      </c>
      <c r="J63" s="51">
        <v>203509</v>
      </c>
      <c r="K63" s="51">
        <v>1181419</v>
      </c>
      <c r="L63" s="128">
        <f t="shared" si="0"/>
        <v>35888783</v>
      </c>
    </row>
    <row r="64" spans="1:12" x14ac:dyDescent="0.35">
      <c r="A64" s="7">
        <v>42064</v>
      </c>
      <c r="B64" s="128">
        <v>27931953</v>
      </c>
      <c r="C64" s="50">
        <v>6308703</v>
      </c>
      <c r="D64" s="51">
        <v>1858706</v>
      </c>
      <c r="E64" s="51">
        <v>5769028</v>
      </c>
      <c r="F64" s="51">
        <v>118419</v>
      </c>
      <c r="G64" s="51">
        <v>3552</v>
      </c>
      <c r="H64" s="51">
        <v>253314</v>
      </c>
      <c r="I64" s="51">
        <v>5200</v>
      </c>
      <c r="J64" s="51">
        <v>211643</v>
      </c>
      <c r="K64" s="51">
        <v>1968059</v>
      </c>
      <c r="L64" s="128">
        <f t="shared" si="0"/>
        <v>44428577</v>
      </c>
    </row>
    <row r="65" spans="1:12" x14ac:dyDescent="0.35">
      <c r="A65" s="7">
        <v>42095</v>
      </c>
      <c r="B65" s="128">
        <v>30611728</v>
      </c>
      <c r="C65" s="50">
        <v>5348965</v>
      </c>
      <c r="D65" s="51">
        <v>1679642</v>
      </c>
      <c r="E65" s="51">
        <v>4994719</v>
      </c>
      <c r="F65" s="51">
        <v>79007</v>
      </c>
      <c r="G65" s="51">
        <v>0</v>
      </c>
      <c r="H65" s="51">
        <v>370242</v>
      </c>
      <c r="I65" s="51">
        <v>9727</v>
      </c>
      <c r="J65" s="51">
        <v>203386</v>
      </c>
      <c r="K65" s="51">
        <v>1369357</v>
      </c>
      <c r="L65" s="128">
        <f t="shared" si="0"/>
        <v>44666773</v>
      </c>
    </row>
    <row r="66" spans="1:12" x14ac:dyDescent="0.35">
      <c r="A66" s="7">
        <v>42125</v>
      </c>
      <c r="B66" s="128">
        <v>26290511</v>
      </c>
      <c r="C66" s="50">
        <v>5387773</v>
      </c>
      <c r="D66" s="51">
        <v>1606080</v>
      </c>
      <c r="E66" s="51">
        <v>4968464</v>
      </c>
      <c r="F66" s="51">
        <v>80512</v>
      </c>
      <c r="G66" s="51">
        <v>0</v>
      </c>
      <c r="H66" s="51">
        <v>501715</v>
      </c>
      <c r="I66" s="51">
        <v>13033</v>
      </c>
      <c r="J66" s="51">
        <v>202831</v>
      </c>
      <c r="K66" s="51">
        <v>1730353</v>
      </c>
      <c r="L66" s="128">
        <f t="shared" si="0"/>
        <v>40781272</v>
      </c>
    </row>
    <row r="67" spans="1:12" x14ac:dyDescent="0.35">
      <c r="A67" s="7">
        <v>42156</v>
      </c>
      <c r="B67" s="128">
        <v>30776169.699999999</v>
      </c>
      <c r="C67" s="50">
        <v>5352789.6660000002</v>
      </c>
      <c r="D67" s="51">
        <v>1770059.85</v>
      </c>
      <c r="E67" s="51">
        <v>5423191.7400000002</v>
      </c>
      <c r="F67" s="51">
        <v>105981.58</v>
      </c>
      <c r="G67" s="51">
        <v>368</v>
      </c>
      <c r="H67" s="51">
        <v>466180.05</v>
      </c>
      <c r="I67" s="51">
        <v>8158.91</v>
      </c>
      <c r="J67" s="51">
        <v>193458.69</v>
      </c>
      <c r="K67" s="51">
        <v>2243726.7799999998</v>
      </c>
      <c r="L67" s="128">
        <f t="shared" ref="L67:L73" si="1">SUM(B67:K67)</f>
        <v>46340084.965999991</v>
      </c>
    </row>
    <row r="68" spans="1:12" x14ac:dyDescent="0.35">
      <c r="A68" s="7">
        <v>42186</v>
      </c>
      <c r="B68" s="128">
        <v>27690859</v>
      </c>
      <c r="C68" s="50">
        <v>6247461</v>
      </c>
      <c r="D68" s="51">
        <v>1756956</v>
      </c>
      <c r="E68" s="51">
        <v>5857611</v>
      </c>
      <c r="F68" s="51">
        <v>100271</v>
      </c>
      <c r="G68" s="51">
        <v>19926</v>
      </c>
      <c r="H68" s="51">
        <v>389644</v>
      </c>
      <c r="I68" s="51">
        <v>9928</v>
      </c>
      <c r="J68" s="51">
        <v>26052</v>
      </c>
      <c r="K68" s="51">
        <v>1473231</v>
      </c>
      <c r="L68" s="128">
        <f t="shared" si="1"/>
        <v>43571939</v>
      </c>
    </row>
    <row r="69" spans="1:12" x14ac:dyDescent="0.35">
      <c r="A69" s="7">
        <v>42217</v>
      </c>
      <c r="B69" s="128">
        <v>26807266</v>
      </c>
      <c r="C69" s="50">
        <v>5209621</v>
      </c>
      <c r="D69" s="51">
        <v>1714066</v>
      </c>
      <c r="E69" s="51">
        <v>5483871</v>
      </c>
      <c r="F69" s="51">
        <v>76542</v>
      </c>
      <c r="G69" s="51">
        <v>0</v>
      </c>
      <c r="H69" s="51">
        <v>265632</v>
      </c>
      <c r="I69" s="51">
        <v>7677</v>
      </c>
      <c r="J69" s="51">
        <v>214261</v>
      </c>
      <c r="K69" s="51">
        <v>1532390</v>
      </c>
      <c r="L69" s="128">
        <f t="shared" si="1"/>
        <v>41311326</v>
      </c>
    </row>
    <row r="70" spans="1:12" x14ac:dyDescent="0.35">
      <c r="A70" s="7">
        <v>42248</v>
      </c>
      <c r="B70" s="128">
        <v>25034275</v>
      </c>
      <c r="C70" s="50">
        <v>5260929</v>
      </c>
      <c r="D70" s="51">
        <v>1815718</v>
      </c>
      <c r="E70" s="51">
        <v>5185824</v>
      </c>
      <c r="F70" s="51">
        <v>92523</v>
      </c>
      <c r="G70" s="51">
        <v>0</v>
      </c>
      <c r="H70" s="51">
        <v>174788</v>
      </c>
      <c r="I70" s="51">
        <v>13496</v>
      </c>
      <c r="J70" s="51">
        <v>203792</v>
      </c>
      <c r="K70" s="51">
        <v>1198689</v>
      </c>
      <c r="L70" s="128">
        <f t="shared" si="1"/>
        <v>38980034</v>
      </c>
    </row>
    <row r="71" spans="1:12" x14ac:dyDescent="0.35">
      <c r="A71" s="7">
        <v>42278</v>
      </c>
      <c r="B71" s="128">
        <v>26245098</v>
      </c>
      <c r="C71" s="50">
        <v>5817856</v>
      </c>
      <c r="D71" s="51">
        <v>1808719</v>
      </c>
      <c r="E71" s="51">
        <v>4994994</v>
      </c>
      <c r="F71" s="51">
        <v>103525</v>
      </c>
      <c r="G71" s="51">
        <v>0</v>
      </c>
      <c r="H71" s="51">
        <v>186190</v>
      </c>
      <c r="I71" s="51">
        <v>17146</v>
      </c>
      <c r="J71" s="51">
        <v>180830</v>
      </c>
      <c r="K71" s="51">
        <v>1225768</v>
      </c>
      <c r="L71" s="128">
        <f t="shared" si="1"/>
        <v>40580126</v>
      </c>
    </row>
    <row r="72" spans="1:12" x14ac:dyDescent="0.35">
      <c r="A72" s="7">
        <v>42309</v>
      </c>
      <c r="B72" s="128">
        <v>24249060</v>
      </c>
      <c r="C72" s="50">
        <v>4882805</v>
      </c>
      <c r="D72" s="51">
        <v>1733543</v>
      </c>
      <c r="E72" s="51">
        <v>5388826</v>
      </c>
      <c r="F72" s="51">
        <v>76395</v>
      </c>
      <c r="G72" s="51">
        <v>0</v>
      </c>
      <c r="H72" s="51">
        <v>308405</v>
      </c>
      <c r="I72" s="51">
        <v>7292</v>
      </c>
      <c r="J72" s="51">
        <v>181250</v>
      </c>
      <c r="K72" s="51">
        <v>1095100</v>
      </c>
      <c r="L72" s="128">
        <f t="shared" si="1"/>
        <v>37922676</v>
      </c>
    </row>
    <row r="73" spans="1:12" x14ac:dyDescent="0.35">
      <c r="A73" s="7">
        <v>42339</v>
      </c>
      <c r="B73" s="128">
        <v>22334458.77</v>
      </c>
      <c r="C73" s="50">
        <v>4697958.37</v>
      </c>
      <c r="D73" s="51">
        <v>1727399.1</v>
      </c>
      <c r="E73" s="51">
        <v>5177076.74</v>
      </c>
      <c r="F73" s="51">
        <v>90592.56</v>
      </c>
      <c r="G73" s="51">
        <v>0</v>
      </c>
      <c r="H73" s="51">
        <v>113897.82</v>
      </c>
      <c r="I73" s="51">
        <v>11536.93</v>
      </c>
      <c r="J73" s="51">
        <v>169751.58</v>
      </c>
      <c r="K73" s="51">
        <v>1799012.42</v>
      </c>
      <c r="L73" s="128">
        <f t="shared" si="1"/>
        <v>36121684.290000007</v>
      </c>
    </row>
    <row r="74" spans="1:12" x14ac:dyDescent="0.35">
      <c r="A74" s="7">
        <v>42370</v>
      </c>
      <c r="B74" s="128">
        <v>23445339.780000001</v>
      </c>
      <c r="C74" s="50">
        <v>4466189</v>
      </c>
      <c r="D74" s="51">
        <v>1567900</v>
      </c>
      <c r="E74" s="51">
        <v>5018859</v>
      </c>
      <c r="F74" s="51">
        <v>86772</v>
      </c>
      <c r="G74" s="51">
        <v>0</v>
      </c>
      <c r="H74" s="51">
        <v>76273</v>
      </c>
      <c r="I74" s="51">
        <v>58650</v>
      </c>
      <c r="J74" s="51">
        <v>139699</v>
      </c>
      <c r="K74" s="51">
        <v>852387</v>
      </c>
      <c r="L74" s="128">
        <f>SUM(B74:K74)</f>
        <v>35712068.780000001</v>
      </c>
    </row>
    <row r="75" spans="1:12" x14ac:dyDescent="0.35">
      <c r="A75" s="7">
        <v>42401</v>
      </c>
      <c r="B75" s="128">
        <v>20785030.16</v>
      </c>
      <c r="C75" s="50">
        <v>4702229.8</v>
      </c>
      <c r="D75" s="51">
        <v>1643509.65</v>
      </c>
      <c r="E75" s="51">
        <v>9148579.4100000001</v>
      </c>
      <c r="F75" s="51">
        <v>64650.43</v>
      </c>
      <c r="G75" s="51"/>
      <c r="H75" s="51">
        <v>155281.47</v>
      </c>
      <c r="I75" s="51">
        <v>19647.66</v>
      </c>
      <c r="J75" s="51">
        <v>183737.31</v>
      </c>
      <c r="K75" s="51">
        <v>1253594.96</v>
      </c>
      <c r="L75" s="128">
        <f>SUM(B75:K75)</f>
        <v>37956260.849999994</v>
      </c>
    </row>
    <row r="76" spans="1:12" x14ac:dyDescent="0.35">
      <c r="A76" s="7">
        <v>42430</v>
      </c>
      <c r="B76" s="128">
        <v>24201528.75</v>
      </c>
      <c r="C76" s="50">
        <v>14524544.16</v>
      </c>
      <c r="D76" s="51">
        <v>2002500.94</v>
      </c>
      <c r="E76" s="51">
        <v>2579267.15</v>
      </c>
      <c r="F76" s="51">
        <v>118814.13</v>
      </c>
      <c r="G76" s="51">
        <v>2902</v>
      </c>
      <c r="H76" s="51">
        <v>155925.84</v>
      </c>
      <c r="I76" s="51">
        <v>84466.01</v>
      </c>
      <c r="J76" s="51">
        <v>162079.07999999999</v>
      </c>
      <c r="K76" s="51">
        <v>2973477.1</v>
      </c>
      <c r="L76" s="128">
        <f>SUM(B76:K76)</f>
        <v>46805505.159999996</v>
      </c>
    </row>
    <row r="77" spans="1:12" x14ac:dyDescent="0.35">
      <c r="A77" s="7">
        <v>42461</v>
      </c>
      <c r="B77" s="128">
        <v>21525250</v>
      </c>
      <c r="C77" s="50">
        <v>5923576</v>
      </c>
      <c r="D77" s="51">
        <v>1625749</v>
      </c>
      <c r="E77" s="51">
        <v>5865640</v>
      </c>
      <c r="F77" s="51">
        <v>53591</v>
      </c>
      <c r="G77" s="51" t="s">
        <v>259</v>
      </c>
      <c r="H77" s="51">
        <v>434109</v>
      </c>
      <c r="I77" s="51">
        <v>6317</v>
      </c>
      <c r="J77" s="51">
        <v>161952</v>
      </c>
      <c r="K77" s="51">
        <v>1300963</v>
      </c>
      <c r="L77" s="128">
        <f t="shared" ref="L77:L79" si="2">SUM(B77:K77)</f>
        <v>36897147</v>
      </c>
    </row>
    <row r="78" spans="1:12" x14ac:dyDescent="0.35">
      <c r="A78" s="7">
        <v>42491</v>
      </c>
      <c r="B78" s="128">
        <v>25343211.949999999</v>
      </c>
      <c r="C78" s="50">
        <v>5331381.78</v>
      </c>
      <c r="D78" s="51">
        <v>1663760.93</v>
      </c>
      <c r="E78" s="51">
        <v>5158548.7699999996</v>
      </c>
      <c r="F78" s="51">
        <v>128510.06</v>
      </c>
      <c r="G78" s="51">
        <v>57500</v>
      </c>
      <c r="H78" s="51">
        <v>200748.27</v>
      </c>
      <c r="I78" s="51">
        <v>4183.38</v>
      </c>
      <c r="J78" s="51">
        <v>164841.93</v>
      </c>
      <c r="K78" s="51">
        <v>1338057.29</v>
      </c>
      <c r="L78" s="128">
        <f t="shared" si="2"/>
        <v>39390744.360000007</v>
      </c>
    </row>
    <row r="79" spans="1:12" x14ac:dyDescent="0.35">
      <c r="A79" s="7">
        <v>42522</v>
      </c>
      <c r="B79" s="128">
        <v>25898718.120000001</v>
      </c>
      <c r="C79" s="50">
        <v>5766518.6699999999</v>
      </c>
      <c r="D79" s="51">
        <v>1661827.47</v>
      </c>
      <c r="E79" s="51">
        <v>7654367.0899999999</v>
      </c>
      <c r="F79" s="51">
        <v>80246.12</v>
      </c>
      <c r="G79" s="51"/>
      <c r="H79" s="51">
        <v>444241.74</v>
      </c>
      <c r="I79" s="51">
        <v>8742626.3800000008</v>
      </c>
      <c r="J79" s="51">
        <v>174604.26</v>
      </c>
      <c r="K79" s="51">
        <v>1391955.04</v>
      </c>
      <c r="L79" s="128">
        <f t="shared" si="2"/>
        <v>51815104.889999993</v>
      </c>
    </row>
    <row r="80" spans="1:12" x14ac:dyDescent="0.35">
      <c r="A80" s="7">
        <v>42552</v>
      </c>
      <c r="B80" s="128">
        <v>21908837</v>
      </c>
      <c r="C80" s="50">
        <v>7246349</v>
      </c>
      <c r="D80" s="51">
        <v>1769675</v>
      </c>
      <c r="E80" s="51">
        <v>5992725</v>
      </c>
      <c r="F80" s="51">
        <v>68104</v>
      </c>
      <c r="G80" s="51"/>
      <c r="H80" s="51">
        <v>297731</v>
      </c>
      <c r="I80" s="51">
        <v>12984</v>
      </c>
      <c r="J80" s="51">
        <v>182046</v>
      </c>
      <c r="K80" s="51">
        <v>1927230</v>
      </c>
      <c r="L80" s="128">
        <f>SUM(B80:K80)</f>
        <v>39405681</v>
      </c>
    </row>
    <row r="81" spans="1:12" x14ac:dyDescent="0.35">
      <c r="A81" s="7">
        <v>42583</v>
      </c>
      <c r="B81" s="128">
        <v>23808470</v>
      </c>
      <c r="C81" s="50">
        <v>5703248</v>
      </c>
      <c r="D81" s="51">
        <v>1658813</v>
      </c>
      <c r="E81" s="51">
        <v>6127400</v>
      </c>
      <c r="F81" s="51">
        <v>78568</v>
      </c>
      <c r="G81" s="51"/>
      <c r="H81" s="51">
        <v>128166</v>
      </c>
      <c r="I81" s="51">
        <v>4976</v>
      </c>
      <c r="J81" s="51">
        <v>189821</v>
      </c>
      <c r="K81" s="51">
        <v>1257189</v>
      </c>
      <c r="L81" s="128">
        <f>SUM(B81:K81)</f>
        <v>38956651</v>
      </c>
    </row>
    <row r="82" spans="1:12" x14ac:dyDescent="0.35">
      <c r="A82" s="7">
        <v>42614</v>
      </c>
      <c r="B82" s="128">
        <v>25671756.289999999</v>
      </c>
      <c r="C82" s="50">
        <v>6122352.4500000002</v>
      </c>
      <c r="D82" s="51">
        <v>1840851.82</v>
      </c>
      <c r="E82" s="51">
        <v>6111033.75</v>
      </c>
      <c r="F82" s="51">
        <v>82154.55</v>
      </c>
      <c r="G82" s="51"/>
      <c r="H82" s="51">
        <v>78040.759999999995</v>
      </c>
      <c r="I82" s="51">
        <v>16148.13</v>
      </c>
      <c r="J82" s="51">
        <v>167658.21</v>
      </c>
      <c r="K82" s="51">
        <v>1706094.02</v>
      </c>
      <c r="L82" s="128">
        <f>SUM(B82:K82)</f>
        <v>41796089.979999997</v>
      </c>
    </row>
    <row r="83" spans="1:12" x14ac:dyDescent="0.35">
      <c r="A83" s="7">
        <v>42644</v>
      </c>
      <c r="B83" s="128">
        <v>27603620.57</v>
      </c>
      <c r="C83" s="50">
        <v>6041985.8899999997</v>
      </c>
      <c r="D83" s="51">
        <v>1678566.93</v>
      </c>
      <c r="E83" s="51">
        <v>5970943.8700000001</v>
      </c>
      <c r="F83" s="51">
        <v>63620.66</v>
      </c>
      <c r="G83" s="51">
        <v>15975</v>
      </c>
      <c r="H83" s="51">
        <v>300143.53000000003</v>
      </c>
      <c r="I83" s="51">
        <v>107131.4</v>
      </c>
      <c r="J83" s="51">
        <v>193003.58</v>
      </c>
      <c r="K83" s="51">
        <v>1075271.1399999999</v>
      </c>
      <c r="L83" s="128">
        <f t="shared" ref="L83:L84" si="3">SUM(B83:K83)</f>
        <v>43050262.569999993</v>
      </c>
    </row>
    <row r="84" spans="1:12" x14ac:dyDescent="0.35">
      <c r="A84" s="7">
        <v>42675</v>
      </c>
      <c r="B84" s="128">
        <v>23539381</v>
      </c>
      <c r="C84" s="50">
        <v>5331404</v>
      </c>
      <c r="D84" s="51">
        <v>1799147</v>
      </c>
      <c r="E84" s="51">
        <v>5773553</v>
      </c>
      <c r="F84" s="51">
        <v>57661</v>
      </c>
      <c r="G84" s="51"/>
      <c r="H84" s="51">
        <v>93016</v>
      </c>
      <c r="I84" s="51">
        <v>12518</v>
      </c>
      <c r="J84" s="51">
        <v>153637</v>
      </c>
      <c r="K84" s="51">
        <v>1197580</v>
      </c>
      <c r="L84" s="128">
        <f t="shared" si="3"/>
        <v>37957897</v>
      </c>
    </row>
    <row r="85" spans="1:12" x14ac:dyDescent="0.35">
      <c r="A85" s="7">
        <v>42705</v>
      </c>
      <c r="B85" s="128">
        <v>25943924</v>
      </c>
      <c r="C85" s="50">
        <v>5410120</v>
      </c>
      <c r="D85" s="51">
        <v>1782323</v>
      </c>
      <c r="E85" s="51">
        <v>5408631</v>
      </c>
      <c r="F85" s="51">
        <v>92385</v>
      </c>
      <c r="G85" s="51"/>
      <c r="H85" s="51">
        <v>65363</v>
      </c>
      <c r="I85" s="51">
        <v>33573</v>
      </c>
      <c r="J85" s="51">
        <v>151834</v>
      </c>
      <c r="K85" s="51">
        <v>6111858</v>
      </c>
      <c r="L85" s="128">
        <f>SUM(B85:K85)</f>
        <v>45000011</v>
      </c>
    </row>
    <row r="86" spans="1:12" x14ac:dyDescent="0.35">
      <c r="A86" s="7">
        <v>42736</v>
      </c>
      <c r="B86" s="128">
        <v>27530750.490000002</v>
      </c>
      <c r="C86" s="50">
        <v>4977302.13</v>
      </c>
      <c r="D86" s="51">
        <v>1697825.75</v>
      </c>
      <c r="E86" s="51">
        <v>5594167.6200000001</v>
      </c>
      <c r="F86" s="51">
        <v>76012.539999999994</v>
      </c>
      <c r="G86" s="51">
        <v>374</v>
      </c>
      <c r="H86" s="51">
        <v>76975.11</v>
      </c>
      <c r="I86" s="51">
        <v>8217.73</v>
      </c>
      <c r="J86" s="51">
        <v>143864.15</v>
      </c>
      <c r="K86" s="51">
        <v>942545.34</v>
      </c>
      <c r="L86" s="128">
        <f t="shared" ref="L86:L145" si="4">SUM(B86:K86)</f>
        <v>41048034.859999999</v>
      </c>
    </row>
    <row r="87" spans="1:12" x14ac:dyDescent="0.35">
      <c r="A87" s="7">
        <v>42767</v>
      </c>
      <c r="B87" s="128">
        <v>22695453.449999999</v>
      </c>
      <c r="C87" s="50">
        <v>4856371.0999999996</v>
      </c>
      <c r="D87" s="51">
        <v>1697793.45</v>
      </c>
      <c r="E87" s="51">
        <v>6667626.9800000004</v>
      </c>
      <c r="F87" s="51">
        <v>56420.35</v>
      </c>
      <c r="G87" s="51"/>
      <c r="H87" s="51">
        <v>264954.59999999998</v>
      </c>
      <c r="I87" s="51">
        <v>26492.93</v>
      </c>
      <c r="J87" s="51">
        <v>148032.98000000001</v>
      </c>
      <c r="K87" s="51">
        <v>1207738.67</v>
      </c>
      <c r="L87" s="128">
        <f t="shared" si="4"/>
        <v>37620884.509999998</v>
      </c>
    </row>
    <row r="88" spans="1:12" x14ac:dyDescent="0.35">
      <c r="A88" s="7">
        <v>42795</v>
      </c>
      <c r="B88" s="128">
        <v>29917263.059999999</v>
      </c>
      <c r="C88" s="50">
        <v>6921762.8499999996</v>
      </c>
      <c r="D88" s="51">
        <v>1999905.82</v>
      </c>
      <c r="E88" s="51">
        <v>6265469.9900000002</v>
      </c>
      <c r="F88" s="51">
        <v>59887.41</v>
      </c>
      <c r="G88" s="51"/>
      <c r="H88" s="51">
        <v>216507.44</v>
      </c>
      <c r="I88" s="51">
        <v>15388.31</v>
      </c>
      <c r="J88" s="51">
        <v>171511.75</v>
      </c>
      <c r="K88" s="51">
        <v>1605354.06</v>
      </c>
      <c r="L88" s="128">
        <f t="shared" si="4"/>
        <v>47173050.689999998</v>
      </c>
    </row>
    <row r="89" spans="1:12" x14ac:dyDescent="0.35">
      <c r="A89" s="7">
        <v>42826</v>
      </c>
      <c r="B89" s="128">
        <v>24151429.91</v>
      </c>
      <c r="C89" s="50">
        <v>5405330.46</v>
      </c>
      <c r="D89" s="51">
        <v>1630306.4</v>
      </c>
      <c r="E89" s="51">
        <v>5618417.3700000001</v>
      </c>
      <c r="F89" s="51">
        <v>60745.89</v>
      </c>
      <c r="G89" s="51"/>
      <c r="H89" s="51">
        <v>287920.81</v>
      </c>
      <c r="I89" s="51">
        <v>11193.16</v>
      </c>
      <c r="J89" s="51">
        <v>152428.24</v>
      </c>
      <c r="K89" s="51">
        <v>1204439.3600000001</v>
      </c>
      <c r="L89" s="128">
        <f t="shared" si="4"/>
        <v>38522211.600000001</v>
      </c>
    </row>
    <row r="90" spans="1:12" x14ac:dyDescent="0.35">
      <c r="A90" s="7">
        <v>42856</v>
      </c>
      <c r="B90" s="128">
        <v>28602614.66</v>
      </c>
      <c r="C90" s="50">
        <v>5726207.2800000003</v>
      </c>
      <c r="D90" s="51">
        <v>1599806.38</v>
      </c>
      <c r="E90" s="51">
        <v>5676973.29</v>
      </c>
      <c r="F90" s="51">
        <v>49747.53</v>
      </c>
      <c r="G90" s="51"/>
      <c r="H90" s="51">
        <v>440150.16</v>
      </c>
      <c r="I90" s="51">
        <v>40326.36</v>
      </c>
      <c r="J90" s="51">
        <v>148055.64000000001</v>
      </c>
      <c r="K90" s="51">
        <v>1298306.69</v>
      </c>
      <c r="L90" s="128">
        <f t="shared" si="4"/>
        <v>43582187.989999995</v>
      </c>
    </row>
    <row r="91" spans="1:12" x14ac:dyDescent="0.35">
      <c r="A91" s="7">
        <v>42887</v>
      </c>
      <c r="B91" s="128">
        <v>29277045</v>
      </c>
      <c r="C91" s="50">
        <v>5789389</v>
      </c>
      <c r="D91" s="51">
        <v>1876403</v>
      </c>
      <c r="E91" s="51">
        <v>6375218</v>
      </c>
      <c r="F91" s="51">
        <v>87866</v>
      </c>
      <c r="G91" s="51"/>
      <c r="H91" s="51">
        <v>500914</v>
      </c>
      <c r="I91" s="51">
        <v>37652</v>
      </c>
      <c r="J91" s="51">
        <v>161249</v>
      </c>
      <c r="K91" s="51">
        <v>2657110</v>
      </c>
      <c r="L91" s="128">
        <f t="shared" si="4"/>
        <v>46762846</v>
      </c>
    </row>
    <row r="92" spans="1:12" x14ac:dyDescent="0.35">
      <c r="A92" s="7">
        <v>42917</v>
      </c>
      <c r="B92" s="128">
        <v>22443022</v>
      </c>
      <c r="C92" s="50">
        <v>5802353</v>
      </c>
      <c r="D92" s="51">
        <v>1930392</v>
      </c>
      <c r="E92" s="51">
        <v>5642229</v>
      </c>
      <c r="F92" s="51">
        <v>58607</v>
      </c>
      <c r="G92" s="51">
        <v>602</v>
      </c>
      <c r="H92" s="51">
        <v>267686</v>
      </c>
      <c r="I92" s="51">
        <v>34598</v>
      </c>
      <c r="J92" s="51">
        <v>160236</v>
      </c>
      <c r="K92" s="51">
        <v>1610277</v>
      </c>
      <c r="L92" s="128">
        <f t="shared" si="4"/>
        <v>37950002</v>
      </c>
    </row>
    <row r="93" spans="1:12" x14ac:dyDescent="0.35">
      <c r="A93" s="7">
        <v>42948</v>
      </c>
      <c r="B93" s="128">
        <v>31545476</v>
      </c>
      <c r="C93" s="50">
        <v>5776436</v>
      </c>
      <c r="D93" s="51">
        <v>1766408</v>
      </c>
      <c r="E93" s="51">
        <v>7245142</v>
      </c>
      <c r="F93" s="51">
        <v>91308</v>
      </c>
      <c r="G93" s="51">
        <v>270</v>
      </c>
      <c r="H93" s="51">
        <v>323211</v>
      </c>
      <c r="I93" s="51">
        <v>16757</v>
      </c>
      <c r="J93" s="51">
        <v>167708</v>
      </c>
      <c r="K93" s="51">
        <v>1368471</v>
      </c>
      <c r="L93" s="128">
        <f t="shared" si="4"/>
        <v>48301187</v>
      </c>
    </row>
    <row r="94" spans="1:12" x14ac:dyDescent="0.35">
      <c r="A94" s="7">
        <v>42979</v>
      </c>
      <c r="B94" s="128">
        <v>25151070</v>
      </c>
      <c r="C94" s="50">
        <v>6083381</v>
      </c>
      <c r="D94" s="51">
        <v>1666014</v>
      </c>
      <c r="E94" s="51">
        <v>6078045</v>
      </c>
      <c r="F94" s="51">
        <v>94471</v>
      </c>
      <c r="G94" s="51"/>
      <c r="H94" s="51">
        <v>115319</v>
      </c>
      <c r="I94" s="51">
        <v>56321</v>
      </c>
      <c r="J94" s="51">
        <v>173504</v>
      </c>
      <c r="K94" s="51">
        <v>1489795</v>
      </c>
      <c r="L94" s="128">
        <f t="shared" si="4"/>
        <v>40907920</v>
      </c>
    </row>
    <row r="95" spans="1:12" x14ac:dyDescent="0.35">
      <c r="A95" s="7">
        <v>43009</v>
      </c>
      <c r="B95" s="128">
        <v>24818704</v>
      </c>
      <c r="C95" s="50">
        <v>5960350</v>
      </c>
      <c r="D95" s="51">
        <v>1712155</v>
      </c>
      <c r="E95" s="51">
        <v>5644126</v>
      </c>
      <c r="F95" s="51">
        <v>143399</v>
      </c>
      <c r="G95" s="51"/>
      <c r="H95" s="51">
        <v>172171</v>
      </c>
      <c r="I95" s="51">
        <v>112330</v>
      </c>
      <c r="J95" s="51">
        <v>190303</v>
      </c>
      <c r="K95" s="51">
        <v>1299252</v>
      </c>
      <c r="L95" s="128">
        <f t="shared" si="4"/>
        <v>40052790</v>
      </c>
    </row>
    <row r="96" spans="1:12" x14ac:dyDescent="0.35">
      <c r="A96" s="7">
        <v>43040</v>
      </c>
      <c r="B96" s="128">
        <v>25553095</v>
      </c>
      <c r="C96" s="50">
        <v>5267549</v>
      </c>
      <c r="D96" s="51">
        <v>1627802</v>
      </c>
      <c r="E96" s="51">
        <v>4849487</v>
      </c>
      <c r="F96" s="51">
        <v>136225</v>
      </c>
      <c r="G96" s="51"/>
      <c r="H96" s="51">
        <v>105848</v>
      </c>
      <c r="I96" s="51">
        <v>73388</v>
      </c>
      <c r="J96" s="51">
        <v>175731</v>
      </c>
      <c r="K96" s="51">
        <v>1296950</v>
      </c>
      <c r="L96" s="128">
        <f t="shared" si="4"/>
        <v>39086075</v>
      </c>
    </row>
    <row r="97" spans="1:12" ht="15" thickBot="1" x14ac:dyDescent="0.4">
      <c r="A97" s="55">
        <v>43070</v>
      </c>
      <c r="B97" s="196">
        <v>25064745.780000001</v>
      </c>
      <c r="C97" s="199">
        <v>5642756.21</v>
      </c>
      <c r="D97" s="200">
        <v>1910007.41</v>
      </c>
      <c r="E97" s="200">
        <v>4795891.76</v>
      </c>
      <c r="F97" s="200">
        <v>65469.03</v>
      </c>
      <c r="G97" s="200"/>
      <c r="H97" s="200">
        <v>33267.85</v>
      </c>
      <c r="I97" s="200">
        <v>94712.18</v>
      </c>
      <c r="J97" s="200">
        <v>165663.81</v>
      </c>
      <c r="K97" s="200">
        <v>1406831.46</v>
      </c>
      <c r="L97" s="196">
        <f t="shared" si="4"/>
        <v>39179345.49000001</v>
      </c>
    </row>
    <row r="98" spans="1:12" x14ac:dyDescent="0.35">
      <c r="A98" s="53">
        <v>43101</v>
      </c>
      <c r="B98" s="173">
        <v>28237451.59</v>
      </c>
      <c r="C98" s="201">
        <v>5313894.5999999996</v>
      </c>
      <c r="D98" s="202">
        <v>1889830.38</v>
      </c>
      <c r="E98" s="202">
        <v>4733628.38</v>
      </c>
      <c r="F98" s="202">
        <v>82308.61</v>
      </c>
      <c r="G98" s="202"/>
      <c r="H98" s="202">
        <v>87236.36</v>
      </c>
      <c r="I98" s="202">
        <v>48445.51</v>
      </c>
      <c r="J98" s="202">
        <v>139647.39000000001</v>
      </c>
      <c r="K98" s="202">
        <v>1171853.6400000001</v>
      </c>
      <c r="L98" s="173">
        <f t="shared" si="4"/>
        <v>41704296.460000001</v>
      </c>
    </row>
    <row r="99" spans="1:12" x14ac:dyDescent="0.35">
      <c r="A99" s="7">
        <v>43132</v>
      </c>
      <c r="B99" s="128">
        <v>23876941.280000001</v>
      </c>
      <c r="C99" s="50">
        <v>5764894.7400000002</v>
      </c>
      <c r="D99" s="51">
        <v>1557478.94</v>
      </c>
      <c r="E99" s="51">
        <v>5601423.1100000003</v>
      </c>
      <c r="F99" s="51">
        <v>75614.210000000006</v>
      </c>
      <c r="G99" s="51">
        <v>4204</v>
      </c>
      <c r="H99" s="51">
        <v>139980.64000000001</v>
      </c>
      <c r="I99" s="51">
        <v>26629.13</v>
      </c>
      <c r="J99" s="51">
        <v>155601.43</v>
      </c>
      <c r="K99" s="51">
        <v>1043774.8</v>
      </c>
      <c r="L99" s="128">
        <f t="shared" si="4"/>
        <v>38246542.280000009</v>
      </c>
    </row>
    <row r="100" spans="1:12" x14ac:dyDescent="0.35">
      <c r="A100" s="7">
        <v>43160</v>
      </c>
      <c r="B100" s="128">
        <v>28879143.91</v>
      </c>
      <c r="C100" s="50">
        <v>7617954.3600000003</v>
      </c>
      <c r="D100" s="51">
        <v>2000987.32</v>
      </c>
      <c r="E100" s="51">
        <v>5043095.46</v>
      </c>
      <c r="F100" s="51">
        <v>94848.87</v>
      </c>
      <c r="G100" s="51"/>
      <c r="H100" s="51">
        <v>265333.86</v>
      </c>
      <c r="I100" s="51">
        <v>43455.19</v>
      </c>
      <c r="J100" s="51">
        <v>177048.71</v>
      </c>
      <c r="K100" s="51">
        <v>2168262.4500000002</v>
      </c>
      <c r="L100" s="128">
        <f t="shared" si="4"/>
        <v>46290130.130000003</v>
      </c>
    </row>
    <row r="101" spans="1:12" x14ac:dyDescent="0.35">
      <c r="A101" s="7">
        <v>43191</v>
      </c>
      <c r="B101" s="128">
        <v>27573571.32</v>
      </c>
      <c r="C101" s="50">
        <v>5978027.5800000001</v>
      </c>
      <c r="D101" s="51">
        <v>1872295.36</v>
      </c>
      <c r="E101" s="51">
        <v>1829755.7</v>
      </c>
      <c r="F101" s="51">
        <v>81297.7</v>
      </c>
      <c r="G101" s="51"/>
      <c r="H101" s="51">
        <v>248282.64</v>
      </c>
      <c r="I101" s="51">
        <v>86801.11</v>
      </c>
      <c r="J101" s="51">
        <v>177815.07</v>
      </c>
      <c r="K101" s="51">
        <v>1513049.76</v>
      </c>
      <c r="L101" s="128">
        <f t="shared" si="4"/>
        <v>39360896.240000002</v>
      </c>
    </row>
    <row r="102" spans="1:12" x14ac:dyDescent="0.35">
      <c r="A102" s="7">
        <v>43221</v>
      </c>
      <c r="B102" s="128">
        <v>30897072.52</v>
      </c>
      <c r="C102" s="50">
        <v>6424938.5700000003</v>
      </c>
      <c r="D102" s="51">
        <v>1890516.76</v>
      </c>
      <c r="E102" s="51">
        <v>4524348.1900000004</v>
      </c>
      <c r="F102" s="51">
        <v>85980.25</v>
      </c>
      <c r="G102" s="51">
        <v>946</v>
      </c>
      <c r="H102" s="51">
        <v>433223.49</v>
      </c>
      <c r="I102" s="51">
        <v>793479.4</v>
      </c>
      <c r="J102" s="51">
        <v>189702.36</v>
      </c>
      <c r="K102" s="51">
        <v>1629004.72</v>
      </c>
      <c r="L102" s="128">
        <v>46869212.259999998</v>
      </c>
    </row>
    <row r="103" spans="1:12" x14ac:dyDescent="0.35">
      <c r="A103" s="7">
        <v>43252</v>
      </c>
      <c r="B103" s="128">
        <v>27959552</v>
      </c>
      <c r="C103" s="50">
        <v>7352051.7000000002</v>
      </c>
      <c r="D103" s="51">
        <v>1814984.11</v>
      </c>
      <c r="E103" s="51">
        <v>5192995.8899999997</v>
      </c>
      <c r="F103" s="51">
        <v>75873.94</v>
      </c>
      <c r="G103" s="51">
        <v>2836</v>
      </c>
      <c r="H103" s="51">
        <v>554326.38</v>
      </c>
      <c r="I103" s="51">
        <v>905772.39</v>
      </c>
      <c r="J103" s="51">
        <v>243601.67</v>
      </c>
      <c r="K103" s="51">
        <v>2024672.62</v>
      </c>
      <c r="L103" s="128">
        <f t="shared" si="4"/>
        <v>46126666.700000003</v>
      </c>
    </row>
    <row r="104" spans="1:12" x14ac:dyDescent="0.35">
      <c r="A104" s="7">
        <v>43282</v>
      </c>
      <c r="B104" s="128">
        <v>35174831.369999997</v>
      </c>
      <c r="C104" s="50">
        <v>6910618.1299999999</v>
      </c>
      <c r="D104" s="51">
        <v>1728075.73</v>
      </c>
      <c r="E104" s="51">
        <v>5377374.2000000002</v>
      </c>
      <c r="F104" s="51">
        <v>76489.070000000007</v>
      </c>
      <c r="G104" s="51">
        <v>283548</v>
      </c>
      <c r="H104" s="51">
        <v>183572.79</v>
      </c>
      <c r="I104" s="51">
        <v>107616.5</v>
      </c>
      <c r="J104" s="51">
        <v>197506.82</v>
      </c>
      <c r="K104" s="51">
        <v>1656594.43</v>
      </c>
      <c r="L104" s="128">
        <f t="shared" si="4"/>
        <v>51696227.039999999</v>
      </c>
    </row>
    <row r="105" spans="1:12" x14ac:dyDescent="0.35">
      <c r="A105" s="7">
        <v>43313</v>
      </c>
      <c r="B105" s="128">
        <v>30653008.109999999</v>
      </c>
      <c r="C105" s="50">
        <v>6064059.25</v>
      </c>
      <c r="D105" s="51">
        <v>1838215.97</v>
      </c>
      <c r="E105" s="51">
        <v>4075776.88</v>
      </c>
      <c r="F105" s="51">
        <v>90812.11</v>
      </c>
      <c r="G105" s="51"/>
      <c r="H105" s="51">
        <v>494549.32</v>
      </c>
      <c r="I105" s="51">
        <v>195699.83</v>
      </c>
      <c r="J105" s="51">
        <v>188360.74</v>
      </c>
      <c r="K105" s="51">
        <v>1593992.73</v>
      </c>
      <c r="L105" s="128">
        <v>45194474.939999998</v>
      </c>
    </row>
    <row r="106" spans="1:12" x14ac:dyDescent="0.35">
      <c r="A106" s="7">
        <v>43344</v>
      </c>
      <c r="B106" s="128">
        <v>26504610.920000002</v>
      </c>
      <c r="C106" s="50">
        <v>6153643.7400000002</v>
      </c>
      <c r="D106" s="51">
        <v>1702780.42</v>
      </c>
      <c r="E106" s="51">
        <v>4934941.3899999997</v>
      </c>
      <c r="F106" s="51">
        <v>85162.54</v>
      </c>
      <c r="G106" s="51">
        <v>812</v>
      </c>
      <c r="H106" s="51">
        <v>129636.28</v>
      </c>
      <c r="I106" s="51">
        <v>89873.78</v>
      </c>
      <c r="J106" s="51">
        <v>183465.27</v>
      </c>
      <c r="K106" s="51">
        <v>1309414.2</v>
      </c>
      <c r="L106" s="128">
        <f t="shared" si="4"/>
        <v>41094340.540000014</v>
      </c>
    </row>
    <row r="107" spans="1:12" x14ac:dyDescent="0.35">
      <c r="A107" s="7">
        <v>43374</v>
      </c>
      <c r="B107" s="128">
        <v>30149048.43</v>
      </c>
      <c r="C107" s="50">
        <v>7211416.9400000004</v>
      </c>
      <c r="D107" s="51">
        <v>2059276.23</v>
      </c>
      <c r="E107" s="51">
        <v>5171936.9400000004</v>
      </c>
      <c r="F107" s="51">
        <v>119986.72</v>
      </c>
      <c r="G107" s="51"/>
      <c r="H107" s="51">
        <v>142764.1</v>
      </c>
      <c r="I107" s="51">
        <v>123594.63</v>
      </c>
      <c r="J107" s="51">
        <v>209767.9</v>
      </c>
      <c r="K107" s="51">
        <v>1322788.29</v>
      </c>
      <c r="L107" s="128">
        <f t="shared" si="4"/>
        <v>46510580.179999992</v>
      </c>
    </row>
    <row r="108" spans="1:12" x14ac:dyDescent="0.35">
      <c r="A108" s="7">
        <v>43405</v>
      </c>
      <c r="B108" s="128">
        <v>24567328.43</v>
      </c>
      <c r="C108" s="50">
        <v>6206442.2999999998</v>
      </c>
      <c r="D108" s="51">
        <v>1952360.37</v>
      </c>
      <c r="E108" s="51">
        <v>4783562.66</v>
      </c>
      <c r="F108" s="51">
        <v>90610.07</v>
      </c>
      <c r="G108" s="51">
        <v>5366.81</v>
      </c>
      <c r="H108" s="51">
        <v>176490.3</v>
      </c>
      <c r="I108" s="51">
        <v>161445.18</v>
      </c>
      <c r="J108" s="51">
        <v>238286.19</v>
      </c>
      <c r="K108" s="51">
        <v>1226034.8900000001</v>
      </c>
      <c r="L108" s="128">
        <f t="shared" si="4"/>
        <v>39407927.200000003</v>
      </c>
    </row>
    <row r="109" spans="1:12" ht="15" thickBot="1" x14ac:dyDescent="0.4">
      <c r="A109" s="15">
        <v>43435</v>
      </c>
      <c r="B109" s="190">
        <v>25824947.780000001</v>
      </c>
      <c r="C109" s="191">
        <v>5916155.9800000004</v>
      </c>
      <c r="D109" s="192">
        <v>1647840.83</v>
      </c>
      <c r="E109" s="192">
        <v>4978648.59</v>
      </c>
      <c r="F109" s="192">
        <v>79177.25</v>
      </c>
      <c r="G109" s="192">
        <v>191893.1</v>
      </c>
      <c r="H109" s="192">
        <v>165398.14000000001</v>
      </c>
      <c r="I109" s="192">
        <v>155455.57999999999</v>
      </c>
      <c r="J109" s="192">
        <v>227759.42</v>
      </c>
      <c r="K109" s="192">
        <v>1511730.06</v>
      </c>
      <c r="L109" s="190">
        <f t="shared" si="4"/>
        <v>40699006.730000012</v>
      </c>
    </row>
    <row r="110" spans="1:12" x14ac:dyDescent="0.35">
      <c r="A110" s="7">
        <v>43484</v>
      </c>
      <c r="B110" s="128">
        <v>29304863.579999998</v>
      </c>
      <c r="C110" s="50">
        <v>6843973.8099999996</v>
      </c>
      <c r="D110" s="51">
        <v>1889360.9</v>
      </c>
      <c r="E110" s="51">
        <v>4597197.18</v>
      </c>
      <c r="F110" s="51">
        <v>114726.99</v>
      </c>
      <c r="G110" s="51">
        <v>4617.4799999999996</v>
      </c>
      <c r="H110" s="51">
        <v>113659.55</v>
      </c>
      <c r="I110" s="51">
        <v>139639.26999999999</v>
      </c>
      <c r="J110" s="51">
        <v>161233.82</v>
      </c>
      <c r="K110" s="203">
        <v>1190032.53</v>
      </c>
      <c r="L110" s="173">
        <f t="shared" si="4"/>
        <v>44359305.109999999</v>
      </c>
    </row>
    <row r="111" spans="1:12" x14ac:dyDescent="0.35">
      <c r="A111" s="7">
        <v>43515</v>
      </c>
      <c r="B111" s="128">
        <v>23292636.390000001</v>
      </c>
      <c r="C111" s="50">
        <v>6126791.6600000001</v>
      </c>
      <c r="D111" s="51">
        <v>1695298.73</v>
      </c>
      <c r="E111" s="51">
        <v>4820485.6100000003</v>
      </c>
      <c r="F111" s="51">
        <v>55379.64</v>
      </c>
      <c r="G111" s="51">
        <v>48991.99</v>
      </c>
      <c r="H111" s="51">
        <v>274126.99</v>
      </c>
      <c r="I111" s="51">
        <v>176274.94</v>
      </c>
      <c r="J111" s="51">
        <v>176826.94</v>
      </c>
      <c r="K111" s="203">
        <v>1263183.19</v>
      </c>
      <c r="L111" s="128">
        <v>37929996.079999998</v>
      </c>
    </row>
    <row r="112" spans="1:12" x14ac:dyDescent="0.35">
      <c r="A112" s="7">
        <v>43543</v>
      </c>
      <c r="B112" s="204">
        <f>3319034.43+24770422</f>
        <v>28089456.43</v>
      </c>
      <c r="C112" s="205">
        <v>8159499.8099999996</v>
      </c>
      <c r="D112" s="205">
        <v>1938971.91</v>
      </c>
      <c r="E112" s="205">
        <v>5357575.7699999996</v>
      </c>
      <c r="F112" s="205">
        <v>124666.61</v>
      </c>
      <c r="G112" s="205">
        <v>242201.22</v>
      </c>
      <c r="H112" s="205">
        <v>290013.42</v>
      </c>
      <c r="I112" s="205">
        <v>230602.83</v>
      </c>
      <c r="J112" s="205">
        <v>173320.21</v>
      </c>
      <c r="K112" s="205">
        <f>1470423.75+340180.5</f>
        <v>1810604.25</v>
      </c>
      <c r="L112" s="205">
        <f t="shared" ref="L112" si="5">SUM(B112:K112)</f>
        <v>46416912.460000001</v>
      </c>
    </row>
    <row r="113" spans="1:12" x14ac:dyDescent="0.35">
      <c r="A113" s="7">
        <v>43574</v>
      </c>
      <c r="B113" s="205">
        <f>24699146+3775510.44</f>
        <v>28474656.440000001</v>
      </c>
      <c r="C113" s="205">
        <v>6964567.5300000003</v>
      </c>
      <c r="D113" s="205">
        <v>1832512.66</v>
      </c>
      <c r="E113" s="205">
        <v>4826922.3600000003</v>
      </c>
      <c r="F113" s="205">
        <v>122784.84</v>
      </c>
      <c r="G113" s="205">
        <v>11885.79</v>
      </c>
      <c r="H113" s="205">
        <v>312486.14</v>
      </c>
      <c r="I113" s="205">
        <v>79219.240000000005</v>
      </c>
      <c r="J113" s="205">
        <v>173802.5</v>
      </c>
      <c r="K113" s="205">
        <f>1515735.36+159020.5</f>
        <v>1674755.86</v>
      </c>
      <c r="L113" s="128">
        <f t="shared" si="4"/>
        <v>44473593.359999999</v>
      </c>
    </row>
    <row r="114" spans="1:12" x14ac:dyDescent="0.35">
      <c r="A114" s="7">
        <v>43604</v>
      </c>
      <c r="B114" s="128">
        <f>29193242+3764086.8</f>
        <v>32957328.800000001</v>
      </c>
      <c r="C114" s="50">
        <v>7655119.0700000003</v>
      </c>
      <c r="D114" s="51">
        <v>1854148.22</v>
      </c>
      <c r="E114" s="51">
        <v>4813363.3600000003</v>
      </c>
      <c r="F114" s="51">
        <v>105948.72</v>
      </c>
      <c r="G114" s="51">
        <v>12760.28</v>
      </c>
      <c r="H114" s="51">
        <v>434203.8</v>
      </c>
      <c r="I114" s="51">
        <v>138406.76999999999</v>
      </c>
      <c r="J114" s="51">
        <v>226338.87</v>
      </c>
      <c r="K114" s="203">
        <f>1463137.14+183211</f>
        <v>1646348.14</v>
      </c>
      <c r="L114" s="128">
        <f t="shared" si="4"/>
        <v>49843966.030000001</v>
      </c>
    </row>
    <row r="115" spans="1:12" x14ac:dyDescent="0.35">
      <c r="A115" s="7">
        <v>43635</v>
      </c>
      <c r="B115" s="128">
        <f>25942282+3440018.06</f>
        <v>29382300.059999999</v>
      </c>
      <c r="C115" s="50">
        <v>7397970.3700000001</v>
      </c>
      <c r="D115" s="51">
        <v>1850423.61</v>
      </c>
      <c r="E115" s="51">
        <v>4793974.3</v>
      </c>
      <c r="F115" s="51">
        <v>107933.28</v>
      </c>
      <c r="G115" s="51">
        <v>12856.42</v>
      </c>
      <c r="H115" s="51">
        <v>462265.78</v>
      </c>
      <c r="I115" s="51">
        <v>149185.17000000001</v>
      </c>
      <c r="J115" s="51">
        <v>287706.40999999997</v>
      </c>
      <c r="K115" s="203">
        <f>1206238.23+380865.5</f>
        <v>1587103.73</v>
      </c>
      <c r="L115" s="128">
        <f t="shared" si="4"/>
        <v>46031719.129999995</v>
      </c>
    </row>
    <row r="116" spans="1:12" x14ac:dyDescent="0.35">
      <c r="A116" s="7">
        <v>43665</v>
      </c>
      <c r="B116" s="128">
        <v>30126146.969999999</v>
      </c>
      <c r="C116" s="50">
        <v>7262026.0300000003</v>
      </c>
      <c r="D116" s="51">
        <v>1838813.43</v>
      </c>
      <c r="E116" s="51">
        <v>5169206.16</v>
      </c>
      <c r="F116" s="51">
        <v>100308.08</v>
      </c>
      <c r="G116" s="51">
        <v>23010.32</v>
      </c>
      <c r="H116" s="51">
        <v>417853.64</v>
      </c>
      <c r="I116" s="51">
        <v>140622.54999999999</v>
      </c>
      <c r="J116" s="51">
        <v>249293.24</v>
      </c>
      <c r="K116" s="203">
        <v>1744921.85</v>
      </c>
      <c r="L116" s="128">
        <f t="shared" si="4"/>
        <v>47072202.270000003</v>
      </c>
    </row>
    <row r="117" spans="1:12" x14ac:dyDescent="0.35">
      <c r="A117" s="7">
        <v>43696</v>
      </c>
      <c r="B117" s="128">
        <v>28194224.710000001</v>
      </c>
      <c r="C117" s="50">
        <v>7720233.3700000001</v>
      </c>
      <c r="D117" s="51">
        <v>1724942.92</v>
      </c>
      <c r="E117" s="51">
        <v>5033747.9400000004</v>
      </c>
      <c r="F117" s="51">
        <v>93981.24</v>
      </c>
      <c r="G117" s="51">
        <v>19547.07</v>
      </c>
      <c r="H117" s="51">
        <v>234842.06</v>
      </c>
      <c r="I117" s="51">
        <v>128977.45</v>
      </c>
      <c r="J117" s="51">
        <v>242870.48</v>
      </c>
      <c r="K117" s="203">
        <v>1483416.47</v>
      </c>
      <c r="L117" s="128">
        <f t="shared" si="4"/>
        <v>44876783.710000001</v>
      </c>
    </row>
    <row r="118" spans="1:12" x14ac:dyDescent="0.35">
      <c r="A118" s="7">
        <v>43727</v>
      </c>
      <c r="B118" s="205">
        <f>25041369+3084216.02</f>
        <v>28125585.02</v>
      </c>
      <c r="C118" s="205">
        <v>7820563.7199999997</v>
      </c>
      <c r="D118" s="205">
        <v>1728383.27</v>
      </c>
      <c r="E118" s="205">
        <v>4251166.8499999996</v>
      </c>
      <c r="F118" s="205">
        <v>59956.54</v>
      </c>
      <c r="G118" s="205">
        <v>7888.51</v>
      </c>
      <c r="H118" s="205">
        <v>143809.43</v>
      </c>
      <c r="I118" s="205">
        <v>142562.26</v>
      </c>
      <c r="J118" s="205">
        <v>243375.31</v>
      </c>
      <c r="K118" s="205">
        <f>1464020.09+1708170.5</f>
        <v>3172190.59</v>
      </c>
      <c r="L118" s="128">
        <f t="shared" si="4"/>
        <v>45695481.5</v>
      </c>
    </row>
    <row r="119" spans="1:12" x14ac:dyDescent="0.35">
      <c r="A119" s="7">
        <v>43757</v>
      </c>
      <c r="B119" s="128">
        <v>31075030.210000001</v>
      </c>
      <c r="C119" s="50">
        <v>7692644.7699999996</v>
      </c>
      <c r="D119" s="51">
        <v>1676718.07</v>
      </c>
      <c r="E119" s="51">
        <v>5978515.1299999999</v>
      </c>
      <c r="F119" s="51">
        <v>51150.9</v>
      </c>
      <c r="G119" s="51">
        <v>8035.01</v>
      </c>
      <c r="H119" s="51">
        <v>198960.46</v>
      </c>
      <c r="I119" s="51">
        <v>191313.41</v>
      </c>
      <c r="J119" s="51">
        <v>265794.95</v>
      </c>
      <c r="K119" s="203">
        <v>1537427.87</v>
      </c>
      <c r="L119" s="128">
        <f t="shared" si="4"/>
        <v>48675590.780000001</v>
      </c>
    </row>
    <row r="120" spans="1:12" x14ac:dyDescent="0.35">
      <c r="A120" s="7">
        <v>43788</v>
      </c>
      <c r="B120" s="128">
        <v>22504777.199999999</v>
      </c>
      <c r="C120" s="50">
        <v>6959776.71</v>
      </c>
      <c r="D120" s="51">
        <v>1753412.28</v>
      </c>
      <c r="E120" s="51">
        <v>3943762.06</v>
      </c>
      <c r="F120" s="51">
        <v>70202.48</v>
      </c>
      <c r="G120" s="51">
        <v>7953.39</v>
      </c>
      <c r="H120" s="51">
        <v>190876.29</v>
      </c>
      <c r="I120" s="51">
        <v>161058.18</v>
      </c>
      <c r="J120" s="51">
        <v>275432.98</v>
      </c>
      <c r="K120" s="203">
        <v>1106424.8</v>
      </c>
      <c r="L120" s="128">
        <f t="shared" si="4"/>
        <v>36973676.36999999</v>
      </c>
    </row>
    <row r="121" spans="1:12" ht="15" thickBot="1" x14ac:dyDescent="0.4">
      <c r="A121" s="15">
        <v>43818</v>
      </c>
      <c r="B121" s="190">
        <f>3085461.82+24682763</f>
        <v>27768224.82</v>
      </c>
      <c r="C121" s="190">
        <v>7178558.3899999997</v>
      </c>
      <c r="D121" s="190">
        <v>1740575.54</v>
      </c>
      <c r="E121" s="190">
        <v>4180527.57</v>
      </c>
      <c r="F121" s="190">
        <v>60057.17</v>
      </c>
      <c r="G121" s="190">
        <v>26302.99</v>
      </c>
      <c r="H121" s="190">
        <v>109024.96000000001</v>
      </c>
      <c r="I121" s="190">
        <v>91119.26</v>
      </c>
      <c r="J121" s="190">
        <v>218408.15</v>
      </c>
      <c r="K121" s="190">
        <f>1155414.28+228098</f>
        <v>1383512.28</v>
      </c>
      <c r="L121" s="190">
        <f t="shared" si="4"/>
        <v>42756311.130000003</v>
      </c>
    </row>
    <row r="122" spans="1:12" x14ac:dyDescent="0.35">
      <c r="A122" s="53">
        <v>43849</v>
      </c>
      <c r="B122" s="173">
        <v>31290039.879999999</v>
      </c>
      <c r="C122" s="173">
        <v>6978226.2800000003</v>
      </c>
      <c r="D122" s="173">
        <v>1665618.09</v>
      </c>
      <c r="E122" s="173">
        <v>4221693.87</v>
      </c>
      <c r="F122" s="173">
        <v>52383.66</v>
      </c>
      <c r="G122" s="173">
        <v>8243.65</v>
      </c>
      <c r="H122" s="173">
        <v>80264.19</v>
      </c>
      <c r="I122" s="173">
        <v>78521.210000000006</v>
      </c>
      <c r="J122" s="173">
        <v>128958.39</v>
      </c>
      <c r="K122" s="173">
        <v>1052009.23</v>
      </c>
      <c r="L122" s="173">
        <f>SUM(B122:K122)</f>
        <v>45555958.449999988</v>
      </c>
    </row>
    <row r="123" spans="1:12" x14ac:dyDescent="0.35">
      <c r="A123" s="7">
        <v>43880</v>
      </c>
      <c r="B123" s="128">
        <v>25342794.140000001</v>
      </c>
      <c r="C123" s="128">
        <v>6480773.5199999996</v>
      </c>
      <c r="D123" s="128">
        <v>1593045.34</v>
      </c>
      <c r="E123" s="128">
        <v>3845440.47</v>
      </c>
      <c r="F123" s="128">
        <v>52608.17</v>
      </c>
      <c r="G123" s="128">
        <v>21365.919999999998</v>
      </c>
      <c r="H123" s="128">
        <v>208131.15</v>
      </c>
      <c r="I123" s="128">
        <v>81218.62</v>
      </c>
      <c r="J123" s="128">
        <v>182269.81</v>
      </c>
      <c r="K123" s="128">
        <v>1215337.31</v>
      </c>
      <c r="L123" s="128">
        <f>SUM(B123:K123)</f>
        <v>39022984.450000003</v>
      </c>
    </row>
    <row r="124" spans="1:12" x14ac:dyDescent="0.35">
      <c r="A124" s="7">
        <v>43909</v>
      </c>
      <c r="B124" s="128">
        <v>27091485.509999998</v>
      </c>
      <c r="C124" s="128">
        <v>7867419.5</v>
      </c>
      <c r="D124" s="128">
        <v>1631545.3</v>
      </c>
      <c r="E124" s="128">
        <v>4073599.8</v>
      </c>
      <c r="F124" s="128">
        <v>62804.5</v>
      </c>
      <c r="G124" s="128">
        <v>8124.81</v>
      </c>
      <c r="H124" s="128">
        <v>382542.46</v>
      </c>
      <c r="I124" s="128">
        <v>179480.7</v>
      </c>
      <c r="J124" s="128">
        <v>163275.64000000001</v>
      </c>
      <c r="K124" s="128">
        <v>1413930.95</v>
      </c>
      <c r="L124" s="128">
        <f t="shared" ref="L124" si="6">SUM(B124:K124)</f>
        <v>42874209.170000002</v>
      </c>
    </row>
    <row r="125" spans="1:12" x14ac:dyDescent="0.35">
      <c r="A125" s="7">
        <v>43940</v>
      </c>
      <c r="B125" s="128">
        <v>18877508.870000001</v>
      </c>
      <c r="C125" s="128">
        <v>6765764.1200000001</v>
      </c>
      <c r="D125" s="128">
        <v>1818158.06</v>
      </c>
      <c r="E125" s="128">
        <v>3416165.39</v>
      </c>
      <c r="F125" s="128">
        <v>43457.99</v>
      </c>
      <c r="G125" s="128">
        <v>6313.01</v>
      </c>
      <c r="H125" s="128">
        <v>344923.26</v>
      </c>
      <c r="I125" s="128">
        <v>45866.52</v>
      </c>
      <c r="J125" s="128">
        <v>155331.46</v>
      </c>
      <c r="K125" s="128">
        <v>1158583.31</v>
      </c>
      <c r="L125" s="128">
        <f t="shared" si="4"/>
        <v>32632071.990000002</v>
      </c>
    </row>
    <row r="126" spans="1:12" x14ac:dyDescent="0.35">
      <c r="A126" s="7">
        <v>43970</v>
      </c>
      <c r="B126" s="128">
        <v>22114006.16</v>
      </c>
      <c r="C126" s="128">
        <v>7424116.4500000002</v>
      </c>
      <c r="D126" s="128">
        <v>1766252.24</v>
      </c>
      <c r="E126" s="128">
        <v>4321500.1399999997</v>
      </c>
      <c r="F126" s="128">
        <v>19597.48</v>
      </c>
      <c r="G126" s="128">
        <v>899</v>
      </c>
      <c r="H126" s="128">
        <v>657527.31999999995</v>
      </c>
      <c r="I126" s="128">
        <v>107398.47</v>
      </c>
      <c r="J126" s="128">
        <v>212446.52</v>
      </c>
      <c r="K126" s="128">
        <v>1861587.87</v>
      </c>
      <c r="L126" s="128">
        <f t="shared" si="4"/>
        <v>38485331.649999991</v>
      </c>
    </row>
    <row r="127" spans="1:12" x14ac:dyDescent="0.35">
      <c r="A127" s="7">
        <v>44001</v>
      </c>
      <c r="B127" s="128">
        <v>28306896.550000001</v>
      </c>
      <c r="C127" s="128">
        <v>8637098.3300000001</v>
      </c>
      <c r="D127" s="128">
        <v>1815306.68</v>
      </c>
      <c r="E127" s="128">
        <v>4666068.8499999996</v>
      </c>
      <c r="F127" s="128">
        <v>32509.71</v>
      </c>
      <c r="G127" s="128">
        <v>21970.63</v>
      </c>
      <c r="H127" s="128">
        <v>251277.2</v>
      </c>
      <c r="I127" s="128">
        <v>155034.54</v>
      </c>
      <c r="J127" s="128">
        <v>223803.17</v>
      </c>
      <c r="K127" s="128">
        <v>1561835.1</v>
      </c>
      <c r="L127" s="128">
        <f t="shared" si="4"/>
        <v>45671800.760000013</v>
      </c>
    </row>
    <row r="128" spans="1:12" x14ac:dyDescent="0.35">
      <c r="A128" s="7">
        <v>44031</v>
      </c>
      <c r="B128" s="128">
        <v>29143275.390000001</v>
      </c>
      <c r="C128" s="128">
        <v>8024597.7199999997</v>
      </c>
      <c r="D128" s="128">
        <v>1336264.77</v>
      </c>
      <c r="E128" s="128">
        <v>4021221.09</v>
      </c>
      <c r="F128" s="128">
        <v>40198.910000000003</v>
      </c>
      <c r="G128" s="128">
        <v>5679.75</v>
      </c>
      <c r="H128" s="128">
        <v>121422.18</v>
      </c>
      <c r="I128" s="128">
        <v>146426.03</v>
      </c>
      <c r="J128" s="128">
        <v>223974.1</v>
      </c>
      <c r="K128" s="128">
        <v>1365254.9</v>
      </c>
      <c r="L128" s="128">
        <f t="shared" si="4"/>
        <v>44428314.839999996</v>
      </c>
    </row>
    <row r="129" spans="1:12" x14ac:dyDescent="0.35">
      <c r="A129" s="7">
        <v>44062</v>
      </c>
      <c r="B129" s="128">
        <v>26544750.199999999</v>
      </c>
      <c r="C129" s="128">
        <v>7258775.1600000001</v>
      </c>
      <c r="D129" s="128">
        <v>1678875.83</v>
      </c>
      <c r="E129" s="128">
        <v>6239279.75</v>
      </c>
      <c r="F129" s="128">
        <v>26115.03</v>
      </c>
      <c r="G129" s="128">
        <v>949</v>
      </c>
      <c r="H129" s="128">
        <v>262452.90000000002</v>
      </c>
      <c r="I129" s="128">
        <v>257261.48</v>
      </c>
      <c r="J129" s="128">
        <v>246865.24</v>
      </c>
      <c r="K129" s="128">
        <v>1576954.14</v>
      </c>
      <c r="L129" s="128">
        <f t="shared" si="4"/>
        <v>44092278.729999997</v>
      </c>
    </row>
    <row r="130" spans="1:12" x14ac:dyDescent="0.35">
      <c r="A130" s="7">
        <v>44093</v>
      </c>
      <c r="B130" s="128">
        <v>31800954.649999999</v>
      </c>
      <c r="C130" s="128">
        <v>8402513.6500000004</v>
      </c>
      <c r="D130" s="128">
        <v>1489609.5</v>
      </c>
      <c r="E130" s="128">
        <v>4896833.13</v>
      </c>
      <c r="F130" s="128">
        <v>45854.77</v>
      </c>
      <c r="G130" s="128">
        <v>6001.37</v>
      </c>
      <c r="H130" s="128">
        <v>182237.63</v>
      </c>
      <c r="I130" s="128">
        <v>247831.08</v>
      </c>
      <c r="J130" s="128">
        <v>247895.37</v>
      </c>
      <c r="K130" s="128">
        <v>1620850.94</v>
      </c>
      <c r="L130" s="128">
        <f t="shared" si="4"/>
        <v>48940582.089999996</v>
      </c>
    </row>
    <row r="131" spans="1:12" x14ac:dyDescent="0.35">
      <c r="A131" s="7">
        <v>44123</v>
      </c>
      <c r="B131" s="128">
        <v>28053568.09</v>
      </c>
      <c r="C131" s="128">
        <v>8068509.3799999999</v>
      </c>
      <c r="D131" s="128">
        <v>1495048.87</v>
      </c>
      <c r="E131" s="128">
        <v>4424399.21</v>
      </c>
      <c r="F131" s="128">
        <v>32744.1</v>
      </c>
      <c r="G131" s="128">
        <v>599.99</v>
      </c>
      <c r="H131" s="128">
        <v>117007.93</v>
      </c>
      <c r="I131" s="128">
        <v>99688.82</v>
      </c>
      <c r="J131" s="128">
        <v>273452.46000000002</v>
      </c>
      <c r="K131" s="128">
        <v>1640661.36</v>
      </c>
      <c r="L131" s="128">
        <f t="shared" si="4"/>
        <v>44205680.210000001</v>
      </c>
    </row>
    <row r="132" spans="1:12" x14ac:dyDescent="0.35">
      <c r="A132" s="7">
        <v>44154</v>
      </c>
      <c r="B132" s="128">
        <v>28261903.93</v>
      </c>
      <c r="C132" s="128">
        <v>8023258.3499999996</v>
      </c>
      <c r="D132" s="128">
        <v>1425846.26</v>
      </c>
      <c r="E132" s="128">
        <v>4199080.3899999997</v>
      </c>
      <c r="F132" s="128">
        <v>25320.76</v>
      </c>
      <c r="G132" s="128">
        <v>1737</v>
      </c>
      <c r="H132" s="128">
        <v>102278.01</v>
      </c>
      <c r="I132" s="128">
        <v>151534.73000000001</v>
      </c>
      <c r="J132" s="128">
        <v>275927.96000000002</v>
      </c>
      <c r="K132" s="128">
        <v>1688119.01</v>
      </c>
      <c r="L132" s="128">
        <f t="shared" si="4"/>
        <v>44155006.399999991</v>
      </c>
    </row>
    <row r="133" spans="1:12" ht="15" thickBot="1" x14ac:dyDescent="0.4">
      <c r="A133" s="15">
        <v>44184</v>
      </c>
      <c r="B133" s="190">
        <v>29122277.719999999</v>
      </c>
      <c r="C133" s="190">
        <v>7512658.6799999997</v>
      </c>
      <c r="D133" s="190">
        <v>1438974.19</v>
      </c>
      <c r="E133" s="190">
        <v>4464582.26</v>
      </c>
      <c r="F133" s="190">
        <v>37857.47</v>
      </c>
      <c r="G133" s="190">
        <v>1031.3699999999999</v>
      </c>
      <c r="H133" s="190">
        <v>199032.79</v>
      </c>
      <c r="I133" s="190">
        <v>130737.14</v>
      </c>
      <c r="J133" s="190">
        <v>265210.03000000003</v>
      </c>
      <c r="K133" s="190">
        <v>1477785.55</v>
      </c>
      <c r="L133" s="190">
        <f t="shared" si="4"/>
        <v>44650147.199999988</v>
      </c>
    </row>
    <row r="134" spans="1:12" x14ac:dyDescent="0.35">
      <c r="A134" s="53">
        <v>44215</v>
      </c>
      <c r="B134" s="173">
        <v>32332641.329999998</v>
      </c>
      <c r="C134" s="173">
        <v>7055287.7300000004</v>
      </c>
      <c r="D134" s="173">
        <v>1088045.22</v>
      </c>
      <c r="E134" s="173">
        <v>4302161.93</v>
      </c>
      <c r="F134" s="173">
        <v>31243.78</v>
      </c>
      <c r="G134" s="173">
        <v>154.03</v>
      </c>
      <c r="H134" s="173">
        <v>86396.01</v>
      </c>
      <c r="I134" s="173">
        <v>86922.8</v>
      </c>
      <c r="J134" s="173">
        <v>238381.99</v>
      </c>
      <c r="K134" s="173">
        <v>897786.62</v>
      </c>
      <c r="L134" s="173">
        <f t="shared" si="4"/>
        <v>46119021.439999998</v>
      </c>
    </row>
    <row r="135" spans="1:12" x14ac:dyDescent="0.35">
      <c r="A135" s="7">
        <v>44246</v>
      </c>
      <c r="B135" s="128">
        <v>25132967.620000001</v>
      </c>
      <c r="C135" s="128">
        <v>6860436.7599999998</v>
      </c>
      <c r="D135" s="128">
        <v>1208248.7</v>
      </c>
      <c r="E135" s="128">
        <v>4414782.9800000004</v>
      </c>
      <c r="F135" s="128">
        <v>28572.02</v>
      </c>
      <c r="G135" s="128">
        <v>1192697.1299999999</v>
      </c>
      <c r="H135" s="128">
        <v>149546.76999999999</v>
      </c>
      <c r="I135" s="128">
        <v>79165.94</v>
      </c>
      <c r="J135" s="128">
        <v>197379.56</v>
      </c>
      <c r="K135" s="128">
        <v>1265159.31</v>
      </c>
      <c r="L135" s="128">
        <f>SUM(B135:K135)</f>
        <v>40528956.790000014</v>
      </c>
    </row>
    <row r="136" spans="1:12" x14ac:dyDescent="0.35">
      <c r="A136" s="7">
        <v>44274</v>
      </c>
      <c r="B136" s="128">
        <v>35165319.810000002</v>
      </c>
      <c r="C136" s="128">
        <v>10631943.050000001</v>
      </c>
      <c r="D136" s="128">
        <v>1459055.5</v>
      </c>
      <c r="E136" s="128">
        <v>5530753.3099999996</v>
      </c>
      <c r="F136" s="128">
        <v>51712.24</v>
      </c>
      <c r="G136" s="128">
        <v>3060.94</v>
      </c>
      <c r="H136" s="128">
        <v>284865.49</v>
      </c>
      <c r="I136" s="128">
        <v>178369.12</v>
      </c>
      <c r="J136" s="128">
        <v>253402.23999999999</v>
      </c>
      <c r="K136" s="128">
        <v>2065598.47</v>
      </c>
      <c r="L136" s="128">
        <f t="shared" ref="L136" si="7">SUM(B136:K136)</f>
        <v>55624080.170000002</v>
      </c>
    </row>
    <row r="137" spans="1:12" x14ac:dyDescent="0.35">
      <c r="A137" s="7">
        <v>44305</v>
      </c>
      <c r="B137" s="128">
        <v>39518992.259999998</v>
      </c>
      <c r="C137" s="128">
        <v>8995188.4100000001</v>
      </c>
      <c r="D137" s="128">
        <v>1422729.97</v>
      </c>
      <c r="E137" s="128">
        <v>5196282.91</v>
      </c>
      <c r="F137" s="128">
        <v>45269.77</v>
      </c>
      <c r="G137" s="128">
        <v>1192697.25</v>
      </c>
      <c r="H137" s="128">
        <v>544517.96</v>
      </c>
      <c r="I137" s="128">
        <v>148693.45000000001</v>
      </c>
      <c r="J137" s="128">
        <v>102371.96</v>
      </c>
      <c r="K137" s="128">
        <v>1806126.88</v>
      </c>
      <c r="L137" s="128">
        <f t="shared" si="4"/>
        <v>58972870.820000008</v>
      </c>
    </row>
    <row r="138" spans="1:12" x14ac:dyDescent="0.35">
      <c r="A138" s="7">
        <v>44335</v>
      </c>
      <c r="B138" s="128">
        <v>34536102.649999999</v>
      </c>
      <c r="C138" s="128">
        <v>8360050.7599999998</v>
      </c>
      <c r="D138" s="128">
        <v>2236919.71</v>
      </c>
      <c r="E138" s="128">
        <v>4701881.12</v>
      </c>
      <c r="F138" s="128">
        <v>49051.89</v>
      </c>
      <c r="G138" s="128">
        <v>44104.21</v>
      </c>
      <c r="H138" s="128">
        <v>508852.16</v>
      </c>
      <c r="I138" s="128">
        <v>244126.35</v>
      </c>
      <c r="J138" s="128">
        <v>367781.05</v>
      </c>
      <c r="K138" s="128">
        <v>1736020.06</v>
      </c>
      <c r="L138" s="128">
        <v>52784889.959999993</v>
      </c>
    </row>
    <row r="139" spans="1:12" x14ac:dyDescent="0.35">
      <c r="A139" s="7">
        <v>44366</v>
      </c>
      <c r="B139" s="128">
        <v>38788962.469999999</v>
      </c>
      <c r="C139" s="128">
        <v>9160652.5600000005</v>
      </c>
      <c r="D139" s="128">
        <v>1772449.05</v>
      </c>
      <c r="E139" s="128">
        <v>4943589.05</v>
      </c>
      <c r="F139" s="128">
        <v>87302.42</v>
      </c>
      <c r="G139" s="128">
        <v>18235.3</v>
      </c>
      <c r="H139" s="128">
        <v>378235.69</v>
      </c>
      <c r="I139" s="128">
        <v>179318.44</v>
      </c>
      <c r="J139" s="128">
        <v>256845.07</v>
      </c>
      <c r="K139" s="128">
        <v>3039700.34</v>
      </c>
      <c r="L139" s="128">
        <f t="shared" si="4"/>
        <v>58625290.389999986</v>
      </c>
    </row>
    <row r="140" spans="1:12" x14ac:dyDescent="0.35">
      <c r="A140" s="7">
        <v>44396</v>
      </c>
      <c r="B140" s="128">
        <v>40054912.630000003</v>
      </c>
      <c r="C140" s="128">
        <v>9736428.8800000008</v>
      </c>
      <c r="D140" s="128">
        <v>1538191.25</v>
      </c>
      <c r="E140" s="128">
        <v>5255554.38</v>
      </c>
      <c r="F140" s="128">
        <v>39627.11</v>
      </c>
      <c r="G140" s="128">
        <v>13370.67</v>
      </c>
      <c r="H140" s="128">
        <v>305304.28000000003</v>
      </c>
      <c r="I140" s="128">
        <v>-1336622.8799999999</v>
      </c>
      <c r="J140" s="128">
        <v>247504.04</v>
      </c>
      <c r="K140" s="128">
        <v>2537008.8200000003</v>
      </c>
      <c r="L140" s="128">
        <f t="shared" si="4"/>
        <v>58391279.180000007</v>
      </c>
    </row>
    <row r="141" spans="1:12" x14ac:dyDescent="0.35">
      <c r="A141" s="7">
        <v>44427</v>
      </c>
      <c r="B141" s="128">
        <v>32131803.949999999</v>
      </c>
      <c r="C141" s="128">
        <v>9337435.9700000007</v>
      </c>
      <c r="D141" s="128">
        <v>1468640.27</v>
      </c>
      <c r="E141" s="128">
        <v>4832469.8600000003</v>
      </c>
      <c r="F141" s="128">
        <v>41110.99</v>
      </c>
      <c r="G141" s="128">
        <v>5965.8</v>
      </c>
      <c r="H141" s="128">
        <v>110712.72</v>
      </c>
      <c r="I141" s="128">
        <v>280471.38</v>
      </c>
      <c r="J141" s="128">
        <v>277004.34000000003</v>
      </c>
      <c r="K141" s="128">
        <v>1867032.01</v>
      </c>
      <c r="L141" s="128">
        <f t="shared" si="4"/>
        <v>50352647.290000007</v>
      </c>
    </row>
    <row r="142" spans="1:12" x14ac:dyDescent="0.35">
      <c r="A142" s="7">
        <v>44458</v>
      </c>
      <c r="B142" s="128">
        <v>33214942.210000001</v>
      </c>
      <c r="C142" s="128">
        <v>8725496.75</v>
      </c>
      <c r="D142" s="128">
        <v>1460820.58</v>
      </c>
      <c r="E142" s="128">
        <v>4566359.3499999996</v>
      </c>
      <c r="F142" s="128">
        <v>80660.960000000006</v>
      </c>
      <c r="G142" s="128">
        <v>5082.7700000000004</v>
      </c>
      <c r="H142" s="128">
        <v>286172.06</v>
      </c>
      <c r="I142" s="128">
        <v>54224.92</v>
      </c>
      <c r="J142" s="128">
        <v>255651</v>
      </c>
      <c r="K142" s="128">
        <v>1750754.19</v>
      </c>
      <c r="L142" s="128">
        <f t="shared" si="4"/>
        <v>50400164.790000007</v>
      </c>
    </row>
    <row r="143" spans="1:12" x14ac:dyDescent="0.35">
      <c r="A143" s="7">
        <v>44488</v>
      </c>
      <c r="B143" s="128">
        <v>33966432.090000004</v>
      </c>
      <c r="C143" s="128">
        <v>9872781.4900000002</v>
      </c>
      <c r="D143" s="128">
        <v>1522250.65</v>
      </c>
      <c r="E143" s="128">
        <v>4980013.42</v>
      </c>
      <c r="F143" s="128">
        <v>54679.99</v>
      </c>
      <c r="G143" s="128">
        <v>1008.28</v>
      </c>
      <c r="H143" s="128">
        <v>50889.84</v>
      </c>
      <c r="I143" s="128">
        <v>211848.43</v>
      </c>
      <c r="J143" s="128">
        <v>331525.58</v>
      </c>
      <c r="K143" s="128">
        <v>1866639.11</v>
      </c>
      <c r="L143" s="128">
        <f t="shared" si="4"/>
        <v>52858068.88000001</v>
      </c>
    </row>
    <row r="144" spans="1:12" x14ac:dyDescent="0.35">
      <c r="A144" s="7">
        <v>44519</v>
      </c>
      <c r="B144" s="128">
        <v>31974861.690000001</v>
      </c>
      <c r="C144" s="128">
        <v>9152906.2799999993</v>
      </c>
      <c r="D144" s="128">
        <v>1663256.61</v>
      </c>
      <c r="E144" s="128">
        <v>4680064.7</v>
      </c>
      <c r="F144" s="128">
        <v>69965.600000000006</v>
      </c>
      <c r="G144" s="128">
        <v>1299.31</v>
      </c>
      <c r="H144" s="128">
        <v>135412.46</v>
      </c>
      <c r="I144" s="128">
        <v>126907.46</v>
      </c>
      <c r="J144" s="128">
        <v>319202.84999999998</v>
      </c>
      <c r="K144" s="128">
        <v>1590563.15</v>
      </c>
      <c r="L144" s="128">
        <f t="shared" si="4"/>
        <v>49714440.110000007</v>
      </c>
    </row>
    <row r="145" spans="1:12" ht="15" thickBot="1" x14ac:dyDescent="0.4">
      <c r="A145" s="15">
        <v>44549</v>
      </c>
      <c r="B145" s="190">
        <v>29837161.48</v>
      </c>
      <c r="C145" s="190">
        <v>8547734.0899999999</v>
      </c>
      <c r="D145" s="190">
        <v>1677165.94</v>
      </c>
      <c r="E145" s="190">
        <v>5002440.87</v>
      </c>
      <c r="F145" s="190">
        <v>62812.63</v>
      </c>
      <c r="G145" s="190">
        <v>3392.84</v>
      </c>
      <c r="H145" s="190">
        <v>34753.11</v>
      </c>
      <c r="I145" s="190">
        <v>135248.69</v>
      </c>
      <c r="J145" s="190">
        <v>350854.45</v>
      </c>
      <c r="K145" s="190">
        <v>2315263.35</v>
      </c>
      <c r="L145" s="190">
        <f t="shared" si="4"/>
        <v>47966827.450000003</v>
      </c>
    </row>
    <row r="146" spans="1:12" x14ac:dyDescent="0.35">
      <c r="A146" s="53">
        <v>44583</v>
      </c>
      <c r="B146" s="173">
        <v>33725314.049999997</v>
      </c>
      <c r="C146" s="173">
        <v>8197629.2300000004</v>
      </c>
      <c r="D146" s="173">
        <v>1675854.2</v>
      </c>
      <c r="E146" s="173">
        <v>5050224.9400000004</v>
      </c>
      <c r="F146" s="173">
        <v>75334.53</v>
      </c>
      <c r="G146" s="173">
        <v>2800</v>
      </c>
      <c r="H146" s="173">
        <v>279900.08</v>
      </c>
      <c r="I146" s="173">
        <v>150941.35999999999</v>
      </c>
      <c r="J146" s="173">
        <v>215691.18</v>
      </c>
      <c r="K146" s="173">
        <v>1216417.1399999999</v>
      </c>
      <c r="L146" s="173">
        <f>SUM(B146:K146)</f>
        <v>50590106.710000001</v>
      </c>
    </row>
    <row r="147" spans="1:12" x14ac:dyDescent="0.35">
      <c r="A147" s="7">
        <v>44614</v>
      </c>
      <c r="B147" s="128">
        <v>30605147.039999999</v>
      </c>
      <c r="C147" s="128">
        <v>8738767.4399999995</v>
      </c>
      <c r="D147" s="128">
        <v>1747959.41</v>
      </c>
      <c r="E147" s="128">
        <v>4748525.29</v>
      </c>
      <c r="F147" s="128">
        <v>75581.7</v>
      </c>
      <c r="G147" s="128">
        <v>1151.58</v>
      </c>
      <c r="H147" s="128">
        <v>173013.55</v>
      </c>
      <c r="I147" s="128">
        <v>147624.95999999999</v>
      </c>
      <c r="J147" s="128">
        <v>216911.32</v>
      </c>
      <c r="K147" s="128">
        <v>1109965.94</v>
      </c>
      <c r="L147" s="128">
        <f>SUM(B147:K147)</f>
        <v>47564648.229999989</v>
      </c>
    </row>
    <row r="148" spans="1:12" x14ac:dyDescent="0.35">
      <c r="A148" s="7">
        <v>44642</v>
      </c>
      <c r="B148" s="128">
        <v>33089626.809999999</v>
      </c>
      <c r="C148" s="128">
        <v>11347349.880000001</v>
      </c>
      <c r="D148" s="128">
        <v>2290255.27</v>
      </c>
      <c r="E148" s="128">
        <v>7863851.7199999997</v>
      </c>
      <c r="F148" s="128">
        <v>62464.74</v>
      </c>
      <c r="G148" s="128">
        <v>4047.11</v>
      </c>
      <c r="H148" s="128">
        <v>191599.33</v>
      </c>
      <c r="I148" s="128">
        <v>152143.4</v>
      </c>
      <c r="J148" s="128">
        <v>242578.11</v>
      </c>
      <c r="K148" s="128">
        <v>2015304.94</v>
      </c>
      <c r="L148" s="128">
        <f t="shared" ref="L148" si="8">SUM(B148:K148)</f>
        <v>57259221.309999995</v>
      </c>
    </row>
    <row r="149" spans="1:12" x14ac:dyDescent="0.35">
      <c r="A149" s="7">
        <v>44673</v>
      </c>
      <c r="B149" s="128">
        <v>34553150</v>
      </c>
      <c r="C149" s="128">
        <v>10308333</v>
      </c>
      <c r="D149" s="128">
        <v>1900493</v>
      </c>
      <c r="E149" s="128">
        <v>4916657</v>
      </c>
      <c r="F149" s="128">
        <v>37544</v>
      </c>
      <c r="G149" s="128">
        <v>523</v>
      </c>
      <c r="H149" s="128">
        <v>658649</v>
      </c>
      <c r="I149" s="128">
        <v>113425</v>
      </c>
      <c r="J149" s="128">
        <v>211976</v>
      </c>
      <c r="K149" s="128">
        <v>1809460</v>
      </c>
      <c r="L149" s="128">
        <f t="shared" ref="L149:L150" si="9">SUM(B149:K149)</f>
        <v>54510210</v>
      </c>
    </row>
    <row r="150" spans="1:12" x14ac:dyDescent="0.35">
      <c r="A150" s="7">
        <v>44703</v>
      </c>
      <c r="B150" s="128">
        <v>36411578.380000003</v>
      </c>
      <c r="C150" s="128">
        <v>10043344</v>
      </c>
      <c r="D150" s="128">
        <v>1882381.95</v>
      </c>
      <c r="E150" s="128">
        <v>5187334</v>
      </c>
      <c r="F150" s="128">
        <v>61825</v>
      </c>
      <c r="G150" s="128">
        <v>2100</v>
      </c>
      <c r="H150" s="128">
        <v>336210.84</v>
      </c>
      <c r="I150" s="128">
        <v>152394.38</v>
      </c>
      <c r="J150" s="128">
        <v>311823.15000000002</v>
      </c>
      <c r="K150" s="128">
        <v>2175651</v>
      </c>
      <c r="L150" s="128">
        <f t="shared" si="9"/>
        <v>56564642.70000001</v>
      </c>
    </row>
    <row r="151" spans="1:12" x14ac:dyDescent="0.35">
      <c r="A151" s="7">
        <v>44734</v>
      </c>
      <c r="B151" s="128">
        <v>36539567</v>
      </c>
      <c r="C151" s="128">
        <v>10579036</v>
      </c>
      <c r="D151" s="128">
        <v>1955462</v>
      </c>
      <c r="E151" s="128">
        <v>7126581</v>
      </c>
      <c r="F151" s="128">
        <v>48051</v>
      </c>
      <c r="G151" s="128">
        <v>14786</v>
      </c>
      <c r="H151" s="128">
        <v>304776</v>
      </c>
      <c r="I151" s="128">
        <v>155474</v>
      </c>
      <c r="J151" s="128">
        <v>316693</v>
      </c>
      <c r="K151" s="128">
        <v>2018436</v>
      </c>
      <c r="L151" s="128">
        <f t="shared" ref="L151:L157" si="10">SUM(B151:K151)</f>
        <v>59058862</v>
      </c>
    </row>
    <row r="152" spans="1:12" x14ac:dyDescent="0.35">
      <c r="A152" s="7">
        <v>44764</v>
      </c>
      <c r="B152" s="128">
        <v>34365072</v>
      </c>
      <c r="C152" s="128">
        <v>10160109</v>
      </c>
      <c r="D152" s="128">
        <v>2508118</v>
      </c>
      <c r="E152" s="128">
        <v>4947842</v>
      </c>
      <c r="F152" s="128">
        <v>45809</v>
      </c>
      <c r="G152" s="128">
        <v>1063</v>
      </c>
      <c r="H152" s="128">
        <v>176412</v>
      </c>
      <c r="I152" s="128">
        <v>114762</v>
      </c>
      <c r="J152" s="128">
        <v>311933</v>
      </c>
      <c r="K152" s="128">
        <v>1678328</v>
      </c>
      <c r="L152" s="128">
        <f t="shared" si="10"/>
        <v>54309448</v>
      </c>
    </row>
    <row r="153" spans="1:12" x14ac:dyDescent="0.35">
      <c r="A153" s="7">
        <v>44795</v>
      </c>
      <c r="B153" s="128">
        <v>37996787</v>
      </c>
      <c r="C153" s="128">
        <v>11168853</v>
      </c>
      <c r="D153" s="128">
        <v>1998943</v>
      </c>
      <c r="E153" s="128">
        <v>6103682</v>
      </c>
      <c r="F153" s="128">
        <v>80992</v>
      </c>
      <c r="G153" s="128">
        <v>2288</v>
      </c>
      <c r="H153" s="128">
        <v>233886</v>
      </c>
      <c r="I153" s="128">
        <v>153935</v>
      </c>
      <c r="J153" s="128">
        <v>348244</v>
      </c>
      <c r="K153" s="128">
        <v>1645563</v>
      </c>
      <c r="L153" s="128">
        <f t="shared" si="10"/>
        <v>59733173</v>
      </c>
    </row>
    <row r="154" spans="1:12" x14ac:dyDescent="0.35">
      <c r="A154" s="7">
        <v>44826</v>
      </c>
      <c r="B154" s="128">
        <v>33900010.259999998</v>
      </c>
      <c r="C154" s="128">
        <v>9643762.5999999996</v>
      </c>
      <c r="D154" s="128">
        <v>2240271.0099999998</v>
      </c>
      <c r="E154" s="128">
        <v>5877730.3200000003</v>
      </c>
      <c r="F154" s="128">
        <v>73646.850000000006</v>
      </c>
      <c r="G154" s="128">
        <v>35890.39</v>
      </c>
      <c r="H154" s="128">
        <v>111520.15</v>
      </c>
      <c r="I154" s="128">
        <v>166827.14000000001</v>
      </c>
      <c r="J154" s="128">
        <v>295603.74</v>
      </c>
      <c r="K154" s="128">
        <v>1540149.71</v>
      </c>
      <c r="L154" s="128">
        <f t="shared" si="10"/>
        <v>53885412.170000002</v>
      </c>
    </row>
    <row r="155" spans="1:12" x14ac:dyDescent="0.35">
      <c r="A155" s="7">
        <v>44856</v>
      </c>
      <c r="B155" s="128">
        <v>34183117</v>
      </c>
      <c r="C155" s="128">
        <v>10476966</v>
      </c>
      <c r="D155" s="128">
        <v>2188058</v>
      </c>
      <c r="E155" s="128">
        <v>5435609</v>
      </c>
      <c r="F155" s="128">
        <v>66617</v>
      </c>
      <c r="G155" s="128">
        <v>473</v>
      </c>
      <c r="H155" s="128">
        <v>145504</v>
      </c>
      <c r="I155" s="128">
        <v>160768</v>
      </c>
      <c r="J155" s="128">
        <v>410748</v>
      </c>
      <c r="K155" s="128">
        <v>1557572</v>
      </c>
      <c r="L155" s="128">
        <f t="shared" si="10"/>
        <v>54625432</v>
      </c>
    </row>
    <row r="156" spans="1:12" x14ac:dyDescent="0.35">
      <c r="A156" s="7">
        <v>44887</v>
      </c>
      <c r="B156" s="128">
        <v>33825012</v>
      </c>
      <c r="C156" s="128">
        <v>9815183</v>
      </c>
      <c r="D156" s="128">
        <v>1900715</v>
      </c>
      <c r="E156" s="128">
        <v>5643896</v>
      </c>
      <c r="F156" s="128">
        <v>18238</v>
      </c>
      <c r="G156" s="128">
        <v>108</v>
      </c>
      <c r="H156" s="128">
        <v>110826</v>
      </c>
      <c r="I156" s="128">
        <v>193298</v>
      </c>
      <c r="J156" s="128">
        <v>388984</v>
      </c>
      <c r="K156" s="128">
        <v>1490187</v>
      </c>
      <c r="L156" s="128">
        <f t="shared" si="10"/>
        <v>53386447</v>
      </c>
    </row>
    <row r="157" spans="1:12" ht="15" thickBot="1" x14ac:dyDescent="0.4">
      <c r="A157" s="15">
        <v>44917</v>
      </c>
      <c r="B157" s="190">
        <v>32294952</v>
      </c>
      <c r="C157" s="190">
        <v>9335666</v>
      </c>
      <c r="D157" s="190">
        <v>2854905</v>
      </c>
      <c r="E157" s="190">
        <v>5774235</v>
      </c>
      <c r="F157" s="190">
        <v>27901</v>
      </c>
      <c r="G157" s="190">
        <v>27937</v>
      </c>
      <c r="H157" s="190">
        <v>58066</v>
      </c>
      <c r="I157" s="190">
        <v>220835</v>
      </c>
      <c r="J157" s="190">
        <v>454923</v>
      </c>
      <c r="K157" s="190">
        <v>1488516</v>
      </c>
      <c r="L157" s="190">
        <f t="shared" si="10"/>
        <v>52537936</v>
      </c>
    </row>
    <row r="158" spans="1:12" x14ac:dyDescent="0.35">
      <c r="A158" s="53">
        <v>44948</v>
      </c>
      <c r="B158" s="173">
        <v>35108768</v>
      </c>
      <c r="C158" s="173">
        <v>9061842</v>
      </c>
      <c r="D158" s="173">
        <v>1922293</v>
      </c>
      <c r="E158" s="173">
        <v>5541892</v>
      </c>
      <c r="F158" s="173">
        <v>112976</v>
      </c>
      <c r="G158" s="173">
        <v>999</v>
      </c>
      <c r="H158" s="173">
        <v>246684</v>
      </c>
      <c r="I158" s="173">
        <v>214306</v>
      </c>
      <c r="J158" s="173">
        <v>308388</v>
      </c>
      <c r="K158" s="173">
        <v>1368946</v>
      </c>
      <c r="L158" s="173">
        <f>SUM(B158:K158)</f>
        <v>53887094</v>
      </c>
    </row>
    <row r="159" spans="1:12" x14ac:dyDescent="0.35">
      <c r="A159" s="7">
        <v>44979</v>
      </c>
      <c r="B159" s="128">
        <v>30608368</v>
      </c>
      <c r="C159" s="128">
        <v>9300350</v>
      </c>
      <c r="D159" s="128">
        <v>1987489</v>
      </c>
      <c r="E159" s="128">
        <v>5467144</v>
      </c>
      <c r="F159" s="128">
        <v>9837</v>
      </c>
      <c r="G159" s="128">
        <v>46290</v>
      </c>
      <c r="H159" s="128">
        <v>35924</v>
      </c>
      <c r="I159" s="128">
        <v>234233</v>
      </c>
      <c r="J159" s="128">
        <v>223086</v>
      </c>
      <c r="K159" s="128">
        <v>1459669</v>
      </c>
      <c r="L159" s="128">
        <f>SUM(B159:K159)</f>
        <v>49372390</v>
      </c>
    </row>
    <row r="160" spans="1:12" x14ac:dyDescent="0.35">
      <c r="A160" s="7">
        <v>45007</v>
      </c>
      <c r="B160" s="100">
        <f>33582303+4673136.88</f>
        <v>38255439.880000003</v>
      </c>
      <c r="C160" s="100">
        <v>11925903.220000001</v>
      </c>
      <c r="D160" s="100">
        <v>2149500.46</v>
      </c>
      <c r="E160" s="100">
        <v>6357182.5700000003</v>
      </c>
      <c r="F160" s="100">
        <v>68175.990000000005</v>
      </c>
      <c r="G160" s="100">
        <v>5193.09</v>
      </c>
      <c r="H160" s="100">
        <v>277079</v>
      </c>
      <c r="I160" s="100">
        <v>65176.84</v>
      </c>
      <c r="J160" s="100">
        <v>220177.99</v>
      </c>
      <c r="K160" s="122">
        <v>2231189.0499999998</v>
      </c>
      <c r="L160" s="128">
        <f t="shared" ref="L160:L178" si="11">SUM(B160:K160)</f>
        <v>61555018.090000011</v>
      </c>
    </row>
    <row r="161" spans="1:12" x14ac:dyDescent="0.35">
      <c r="A161" s="42">
        <v>45038</v>
      </c>
      <c r="B161" s="128">
        <v>32722429</v>
      </c>
      <c r="C161" s="128">
        <v>10085262</v>
      </c>
      <c r="D161" s="128">
        <v>2337219</v>
      </c>
      <c r="E161" s="128">
        <v>5681664</v>
      </c>
      <c r="F161" s="128">
        <v>7645</v>
      </c>
      <c r="G161" s="128">
        <v>-44960</v>
      </c>
      <c r="H161" s="128">
        <v>494838</v>
      </c>
      <c r="I161" s="128">
        <v>176557</v>
      </c>
      <c r="J161" s="128">
        <v>200396</v>
      </c>
      <c r="K161" s="128">
        <v>1508112</v>
      </c>
      <c r="L161" s="128">
        <f t="shared" si="11"/>
        <v>53169162</v>
      </c>
    </row>
    <row r="162" spans="1:12" x14ac:dyDescent="0.35">
      <c r="A162" s="7">
        <v>45068</v>
      </c>
      <c r="B162" s="128">
        <v>36695978</v>
      </c>
      <c r="C162" s="128">
        <v>11373352</v>
      </c>
      <c r="D162" s="128">
        <v>2204365</v>
      </c>
      <c r="E162" s="128">
        <v>6195253</v>
      </c>
      <c r="F162" s="128">
        <v>16514</v>
      </c>
      <c r="G162" s="128">
        <v>586</v>
      </c>
      <c r="H162" s="128">
        <v>735453</v>
      </c>
      <c r="I162" s="128">
        <v>97242</v>
      </c>
      <c r="J162" s="128">
        <v>255211</v>
      </c>
      <c r="K162" s="128">
        <v>1662093</v>
      </c>
      <c r="L162" s="128">
        <f t="shared" si="11"/>
        <v>59236047</v>
      </c>
    </row>
    <row r="163" spans="1:12" x14ac:dyDescent="0.35">
      <c r="A163" s="7">
        <v>45099</v>
      </c>
      <c r="B163" s="128">
        <v>41442713</v>
      </c>
      <c r="C163" s="128">
        <v>10905377</v>
      </c>
      <c r="D163" s="128">
        <v>2254985</v>
      </c>
      <c r="E163" s="128">
        <v>5866251</v>
      </c>
      <c r="F163" s="128">
        <v>18691</v>
      </c>
      <c r="G163" s="128">
        <v>4118</v>
      </c>
      <c r="H163" s="128">
        <v>1057440</v>
      </c>
      <c r="I163" s="128">
        <v>277854</v>
      </c>
      <c r="J163" s="128">
        <v>293953</v>
      </c>
      <c r="K163" s="128">
        <v>1714118</v>
      </c>
      <c r="L163" s="128">
        <f t="shared" si="11"/>
        <v>63835500</v>
      </c>
    </row>
    <row r="164" spans="1:12" x14ac:dyDescent="0.35">
      <c r="A164" s="42">
        <v>45129</v>
      </c>
      <c r="B164" s="128">
        <v>34403894</v>
      </c>
      <c r="C164" s="128">
        <v>10558478</v>
      </c>
      <c r="D164" s="128">
        <v>2285795</v>
      </c>
      <c r="E164" s="128">
        <v>5764078</v>
      </c>
      <c r="F164" s="128">
        <v>35913</v>
      </c>
      <c r="G164" s="128">
        <v>4451</v>
      </c>
      <c r="H164" s="128">
        <v>527344</v>
      </c>
      <c r="I164" s="128">
        <v>123921</v>
      </c>
      <c r="J164" s="128">
        <v>319695</v>
      </c>
      <c r="K164" s="128">
        <v>1254352</v>
      </c>
      <c r="L164" s="128">
        <f t="shared" si="11"/>
        <v>55277921</v>
      </c>
    </row>
    <row r="165" spans="1:12" x14ac:dyDescent="0.35">
      <c r="A165" s="7">
        <v>45160</v>
      </c>
      <c r="B165" s="128">
        <v>39873610</v>
      </c>
      <c r="C165" s="128">
        <v>10939783</v>
      </c>
      <c r="D165" s="128">
        <v>2259311</v>
      </c>
      <c r="E165" s="128">
        <v>6904825</v>
      </c>
      <c r="F165" s="128">
        <v>35507</v>
      </c>
      <c r="G165" s="128">
        <v>65196</v>
      </c>
      <c r="H165" s="128">
        <v>256777</v>
      </c>
      <c r="I165" s="128">
        <v>264605</v>
      </c>
      <c r="J165" s="128">
        <v>336758</v>
      </c>
      <c r="K165" s="128">
        <v>1295450</v>
      </c>
      <c r="L165" s="128">
        <f t="shared" si="11"/>
        <v>62231822</v>
      </c>
    </row>
    <row r="166" spans="1:12" x14ac:dyDescent="0.35">
      <c r="A166" s="7">
        <v>45191</v>
      </c>
      <c r="B166" s="128">
        <v>35583658</v>
      </c>
      <c r="C166" s="128">
        <v>9479298</v>
      </c>
      <c r="D166" s="128">
        <v>2201941</v>
      </c>
      <c r="E166" s="128">
        <v>5827451</v>
      </c>
      <c r="F166" s="128">
        <v>62955</v>
      </c>
      <c r="G166" s="128">
        <v>1817</v>
      </c>
      <c r="H166" s="128">
        <v>239364</v>
      </c>
      <c r="I166" s="128">
        <v>314040</v>
      </c>
      <c r="J166" s="128">
        <v>299431</v>
      </c>
      <c r="K166" s="128">
        <v>1559165</v>
      </c>
      <c r="L166" s="128">
        <f t="shared" si="11"/>
        <v>55569120</v>
      </c>
    </row>
    <row r="167" spans="1:12" x14ac:dyDescent="0.35">
      <c r="A167" s="42">
        <v>45221</v>
      </c>
      <c r="B167" s="128">
        <v>38205464</v>
      </c>
      <c r="C167" s="128">
        <v>9117782</v>
      </c>
      <c r="D167" s="128">
        <v>2106678</v>
      </c>
      <c r="E167" s="128">
        <v>6084732</v>
      </c>
      <c r="F167" s="128">
        <v>112475</v>
      </c>
      <c r="G167" s="128"/>
      <c r="H167" s="128">
        <v>134292</v>
      </c>
      <c r="I167" s="128">
        <v>205082</v>
      </c>
      <c r="J167" s="128">
        <v>399093</v>
      </c>
      <c r="K167" s="128">
        <v>1220715</v>
      </c>
      <c r="L167" s="128">
        <f t="shared" si="11"/>
        <v>57586313</v>
      </c>
    </row>
    <row r="168" spans="1:12" x14ac:dyDescent="0.35">
      <c r="A168" s="7">
        <v>45252</v>
      </c>
      <c r="B168" s="205">
        <f>31060395+4123954.73</f>
        <v>35184349.729999997</v>
      </c>
      <c r="C168" s="205">
        <v>8746938.2200000007</v>
      </c>
      <c r="D168" s="205">
        <v>2067841.2</v>
      </c>
      <c r="E168" s="205">
        <v>5134380.6900000004</v>
      </c>
      <c r="F168" s="205">
        <v>1183475.7</v>
      </c>
      <c r="G168" s="205"/>
      <c r="H168" s="205">
        <v>103730.1</v>
      </c>
      <c r="I168" s="205">
        <v>150682.10999999999</v>
      </c>
      <c r="J168" s="205">
        <v>387375.79</v>
      </c>
      <c r="K168" s="305">
        <f>941006.83+57670.5</f>
        <v>998677.33</v>
      </c>
      <c r="L168" s="128">
        <f t="shared" si="11"/>
        <v>53957450.869999997</v>
      </c>
    </row>
    <row r="169" spans="1:12" ht="15" thickBot="1" x14ac:dyDescent="0.4">
      <c r="A169" s="15">
        <v>45282</v>
      </c>
      <c r="B169" s="190">
        <v>31861388.18</v>
      </c>
      <c r="C169" s="190">
        <v>9420220.0399999991</v>
      </c>
      <c r="D169" s="190">
        <v>2104332.77</v>
      </c>
      <c r="E169" s="190">
        <v>5427279.8499999996</v>
      </c>
      <c r="F169" s="190">
        <v>272687.7</v>
      </c>
      <c r="G169" s="190">
        <v>25813.98</v>
      </c>
      <c r="H169" s="190">
        <v>42617.49</v>
      </c>
      <c r="I169" s="190">
        <v>151893.82</v>
      </c>
      <c r="J169" s="190">
        <v>398626.03</v>
      </c>
      <c r="K169" s="190">
        <v>1425638.42</v>
      </c>
      <c r="L169" s="190">
        <f t="shared" si="11"/>
        <v>51130498.280000009</v>
      </c>
    </row>
    <row r="170" spans="1:12" x14ac:dyDescent="0.35">
      <c r="A170" s="53">
        <v>45313</v>
      </c>
      <c r="B170" s="132">
        <f>32626974+4076208.6</f>
        <v>36703182.600000001</v>
      </c>
      <c r="C170" s="132">
        <v>8950964.6899999995</v>
      </c>
      <c r="D170" s="132">
        <v>1933205.48</v>
      </c>
      <c r="E170" s="132">
        <v>6133300.9199999999</v>
      </c>
      <c r="F170" s="132">
        <v>32579.86</v>
      </c>
      <c r="G170" s="132">
        <v>810</v>
      </c>
      <c r="H170" s="132">
        <v>119493.86</v>
      </c>
      <c r="I170" s="132">
        <v>158439.76</v>
      </c>
      <c r="J170" s="132">
        <v>217419.88</v>
      </c>
      <c r="K170" s="132">
        <f>902741.44+196123</f>
        <v>1098864.44</v>
      </c>
      <c r="L170" s="128">
        <f t="shared" si="11"/>
        <v>55348261.489999995</v>
      </c>
    </row>
    <row r="171" spans="1:12" x14ac:dyDescent="0.35">
      <c r="A171" s="7">
        <v>45344</v>
      </c>
      <c r="B171" s="100">
        <f>29100261+4090507.36</f>
        <v>33190768.359999999</v>
      </c>
      <c r="C171" s="100">
        <v>8812996.1500000004</v>
      </c>
      <c r="D171" s="100">
        <v>2052267.1</v>
      </c>
      <c r="E171" s="100">
        <v>6110046.4500000002</v>
      </c>
      <c r="F171" s="100">
        <v>86442.880000000005</v>
      </c>
      <c r="G171" s="100">
        <v>3108.8</v>
      </c>
      <c r="H171" s="100">
        <v>189328.48</v>
      </c>
      <c r="I171" s="100">
        <v>183483.78</v>
      </c>
      <c r="J171" s="100">
        <v>225641.13</v>
      </c>
      <c r="K171" s="100">
        <f>1120097.09+193123</f>
        <v>1313220.0900000001</v>
      </c>
      <c r="L171" s="128">
        <f t="shared" si="11"/>
        <v>52167303.220000006</v>
      </c>
    </row>
    <row r="172" spans="1:12" x14ac:dyDescent="0.35">
      <c r="A172" s="42">
        <v>45373</v>
      </c>
      <c r="B172" s="100">
        <f>25515546+4222161.95</f>
        <v>29737707.949999999</v>
      </c>
      <c r="C172" s="100">
        <v>10716301.67</v>
      </c>
      <c r="D172" s="100">
        <v>2646808.64</v>
      </c>
      <c r="E172" s="299">
        <v>8508831.4600000009</v>
      </c>
      <c r="F172" s="100">
        <v>25953.98</v>
      </c>
      <c r="G172" s="100">
        <v>5269.47</v>
      </c>
      <c r="H172" s="100">
        <v>303850.34000000003</v>
      </c>
      <c r="I172" s="100">
        <v>138889.1</v>
      </c>
      <c r="J172" s="100">
        <v>245180.92</v>
      </c>
      <c r="K172" s="122">
        <f>1583518.76+189243.5</f>
        <v>1772762.26</v>
      </c>
      <c r="L172" s="128">
        <f t="shared" si="11"/>
        <v>54101555.789999999</v>
      </c>
    </row>
    <row r="173" spans="1:12" x14ac:dyDescent="0.35">
      <c r="A173" s="7">
        <v>45404</v>
      </c>
      <c r="B173" s="11">
        <v>38998688.130000003</v>
      </c>
      <c r="C173" s="11">
        <v>10078415.83</v>
      </c>
      <c r="D173" s="11">
        <v>2233720.4300000002</v>
      </c>
      <c r="E173" s="11">
        <v>7070284.0199999996</v>
      </c>
      <c r="F173" s="11">
        <v>80777.67</v>
      </c>
      <c r="G173" s="11"/>
      <c r="H173" s="11">
        <v>755692.91</v>
      </c>
      <c r="I173" s="11">
        <v>137200.39000000001</v>
      </c>
      <c r="J173" s="11">
        <v>251117.12</v>
      </c>
      <c r="K173" s="11">
        <v>1691151.09</v>
      </c>
      <c r="L173" s="11">
        <f t="shared" si="11"/>
        <v>61297047.589999996</v>
      </c>
    </row>
    <row r="174" spans="1:12" x14ac:dyDescent="0.35">
      <c r="A174" s="42">
        <v>45434</v>
      </c>
      <c r="B174" s="128">
        <v>36606225.07</v>
      </c>
      <c r="C174" s="128">
        <v>9660085.1899999995</v>
      </c>
      <c r="D174" s="128">
        <v>2331128.4500000002</v>
      </c>
      <c r="E174" s="128">
        <v>6979912.8499999996</v>
      </c>
      <c r="F174" s="128">
        <v>25512.14</v>
      </c>
      <c r="G174" s="128"/>
      <c r="H174" s="128">
        <v>322951.87</v>
      </c>
      <c r="I174" s="128">
        <v>176019.11</v>
      </c>
      <c r="J174" s="128">
        <v>218862.65</v>
      </c>
      <c r="K174" s="128">
        <v>1725030.93</v>
      </c>
      <c r="L174" s="128">
        <f t="shared" si="11"/>
        <v>58045728.259999998</v>
      </c>
    </row>
    <row r="175" spans="1:12" x14ac:dyDescent="0.35">
      <c r="A175" s="7">
        <v>45465</v>
      </c>
      <c r="B175" s="128">
        <v>35217761.530000001</v>
      </c>
      <c r="C175" s="128">
        <v>10097251.6</v>
      </c>
      <c r="D175" s="128">
        <v>2275742.69</v>
      </c>
      <c r="E175" s="128">
        <v>6652895.8200000003</v>
      </c>
      <c r="F175" s="128">
        <v>15069.92</v>
      </c>
      <c r="G175" s="128">
        <v>15067.63</v>
      </c>
      <c r="H175" s="128">
        <v>648585.93999999994</v>
      </c>
      <c r="I175" s="128">
        <v>203893.51</v>
      </c>
      <c r="J175" s="128">
        <v>230468.82</v>
      </c>
      <c r="K175" s="128">
        <v>1851266.5</v>
      </c>
      <c r="L175" s="11">
        <f t="shared" si="11"/>
        <v>57208003.960000001</v>
      </c>
    </row>
    <row r="176" spans="1:12" x14ac:dyDescent="0.35">
      <c r="A176" s="42">
        <v>45495</v>
      </c>
      <c r="B176" s="128">
        <v>36196023.659999996</v>
      </c>
      <c r="C176" s="128">
        <v>9976319.9600000009</v>
      </c>
      <c r="D176" s="128">
        <v>2494784.3199999998</v>
      </c>
      <c r="E176" s="128">
        <v>6373271.5899999999</v>
      </c>
      <c r="F176" s="128">
        <v>13090.95</v>
      </c>
      <c r="G176" s="128">
        <v>5046</v>
      </c>
      <c r="H176" s="128">
        <v>687377.63</v>
      </c>
      <c r="I176" s="128">
        <v>153747.26</v>
      </c>
      <c r="J176" s="128">
        <v>235140.97</v>
      </c>
      <c r="K176" s="128">
        <v>1849781.02</v>
      </c>
      <c r="L176" s="128">
        <f t="shared" si="11"/>
        <v>57984583.360000007</v>
      </c>
    </row>
    <row r="177" spans="1:13" x14ac:dyDescent="0.35">
      <c r="A177" s="7">
        <v>45526</v>
      </c>
      <c r="B177" s="128">
        <v>37038687.230000004</v>
      </c>
      <c r="C177" s="128">
        <v>11439188.18</v>
      </c>
      <c r="D177" s="128">
        <v>2437384.15</v>
      </c>
      <c r="E177" s="128">
        <v>9793673.9299999997</v>
      </c>
      <c r="F177" s="128">
        <v>186551.08</v>
      </c>
      <c r="G177" s="128">
        <v>1049</v>
      </c>
      <c r="H177" s="128">
        <v>395476.25</v>
      </c>
      <c r="I177" s="128">
        <v>104244.16</v>
      </c>
      <c r="J177" s="128">
        <v>257352.9</v>
      </c>
      <c r="K177" s="128">
        <v>1748201.86</v>
      </c>
      <c r="L177" s="11">
        <f>SUM(B177:K177)</f>
        <v>63401808.739999995</v>
      </c>
    </row>
    <row r="178" spans="1:13" x14ac:dyDescent="0.35">
      <c r="A178" s="42">
        <v>45557</v>
      </c>
      <c r="B178" s="128">
        <v>33417566.509999998</v>
      </c>
      <c r="C178" s="128">
        <v>9786598.5899999999</v>
      </c>
      <c r="D178" s="128">
        <v>2319352.5699999998</v>
      </c>
      <c r="E178" s="128">
        <v>6205628.8399999999</v>
      </c>
      <c r="F178" s="128">
        <v>19627.060000000001</v>
      </c>
      <c r="G178" s="128">
        <v>33735.589999999997</v>
      </c>
      <c r="H178" s="128">
        <v>145150.98000000001</v>
      </c>
      <c r="I178" s="128">
        <v>75645.7</v>
      </c>
      <c r="J178" s="128">
        <v>211174.03</v>
      </c>
      <c r="K178" s="128">
        <v>1387631.87</v>
      </c>
      <c r="L178" s="11">
        <f t="shared" si="11"/>
        <v>53602111.739999995</v>
      </c>
    </row>
    <row r="179" spans="1:13" x14ac:dyDescent="0.35">
      <c r="A179" s="7">
        <v>45587</v>
      </c>
      <c r="B179" s="128">
        <v>34896748.049999997</v>
      </c>
      <c r="C179" s="128">
        <v>10206247.73</v>
      </c>
      <c r="D179" s="128">
        <v>2488629.83</v>
      </c>
      <c r="E179" s="128">
        <v>6547612.1500000004</v>
      </c>
      <c r="F179" s="128">
        <v>11142.73</v>
      </c>
      <c r="G179" s="128"/>
      <c r="H179" s="128">
        <v>91302.5</v>
      </c>
      <c r="I179" s="128">
        <v>180503.24</v>
      </c>
      <c r="J179" s="128">
        <v>259154.32</v>
      </c>
      <c r="K179" s="128">
        <v>1402424.06</v>
      </c>
      <c r="L179" s="11">
        <f>SUM(B179:K179)</f>
        <v>56083764.609999999</v>
      </c>
    </row>
    <row r="180" spans="1:13" x14ac:dyDescent="0.35">
      <c r="A180" s="42">
        <v>45618</v>
      </c>
      <c r="B180" s="205">
        <v>33430584.890000001</v>
      </c>
      <c r="C180" s="205">
        <v>8977791.0899999999</v>
      </c>
      <c r="D180" s="205">
        <v>2463148.19</v>
      </c>
      <c r="E180" s="205">
        <v>6011112.1299999999</v>
      </c>
      <c r="F180" s="205">
        <v>17064.68</v>
      </c>
      <c r="G180" s="205">
        <v>2000</v>
      </c>
      <c r="H180" s="205">
        <v>130010.68</v>
      </c>
      <c r="I180" s="205">
        <v>105719.49</v>
      </c>
      <c r="J180" s="205">
        <v>221140.3</v>
      </c>
      <c r="K180" s="305">
        <v>1184140.3599999999</v>
      </c>
      <c r="L180" s="11">
        <f>SUM(B180:K180)</f>
        <v>52542711.810000002</v>
      </c>
    </row>
    <row r="181" spans="1:13" ht="15" thickBot="1" x14ac:dyDescent="0.4">
      <c r="A181" s="15">
        <v>45648</v>
      </c>
      <c r="B181" s="190">
        <v>35748883.909999996</v>
      </c>
      <c r="C181" s="190">
        <v>9081337.7899999991</v>
      </c>
      <c r="D181" s="190">
        <v>2222299.6</v>
      </c>
      <c r="E181" s="190">
        <v>5868790.3300000001</v>
      </c>
      <c r="F181" s="190">
        <v>17243.03</v>
      </c>
      <c r="G181" s="190">
        <v>5261.75</v>
      </c>
      <c r="H181" s="190">
        <v>61349.69</v>
      </c>
      <c r="I181" s="190">
        <v>106247.61</v>
      </c>
      <c r="J181" s="190">
        <v>237158.51</v>
      </c>
      <c r="K181" s="190">
        <v>1656659.2</v>
      </c>
      <c r="L181" s="190">
        <v>55005231.419999994</v>
      </c>
    </row>
    <row r="182" spans="1:13" x14ac:dyDescent="0.35">
      <c r="A182" s="16"/>
      <c r="B182" s="194"/>
      <c r="C182" s="194"/>
      <c r="D182" s="194"/>
      <c r="E182" s="194"/>
      <c r="F182" s="194"/>
      <c r="G182" s="194"/>
      <c r="H182" s="194"/>
      <c r="I182" s="194"/>
      <c r="J182" s="194"/>
      <c r="K182" s="194"/>
      <c r="L182" s="194"/>
    </row>
    <row r="183" spans="1:13" ht="15" thickBot="1" x14ac:dyDescent="0.4">
      <c r="A183" s="16"/>
      <c r="B183" s="194"/>
      <c r="C183" s="194"/>
      <c r="D183" s="194"/>
      <c r="E183" s="194"/>
      <c r="F183" s="194"/>
      <c r="G183" s="194"/>
      <c r="H183" s="194"/>
      <c r="I183" s="194"/>
      <c r="J183" s="194"/>
      <c r="K183" s="194"/>
      <c r="L183" s="194"/>
    </row>
    <row r="184" spans="1:13" x14ac:dyDescent="0.35">
      <c r="A184" s="1" t="s">
        <v>9</v>
      </c>
      <c r="B184" s="2" t="s">
        <v>248</v>
      </c>
      <c r="C184" s="3" t="s">
        <v>249</v>
      </c>
      <c r="D184" s="4" t="s">
        <v>250</v>
      </c>
      <c r="E184" s="4" t="s">
        <v>251</v>
      </c>
      <c r="F184" s="4" t="s">
        <v>252</v>
      </c>
      <c r="G184" s="4" t="s">
        <v>253</v>
      </c>
      <c r="H184" s="4" t="s">
        <v>254</v>
      </c>
      <c r="I184" s="4" t="s">
        <v>255</v>
      </c>
      <c r="J184" s="4" t="s">
        <v>256</v>
      </c>
      <c r="K184" s="2" t="s">
        <v>257</v>
      </c>
      <c r="L184" s="2" t="s">
        <v>258</v>
      </c>
    </row>
    <row r="185" spans="1:13" x14ac:dyDescent="0.35">
      <c r="A185" s="18">
        <v>2010</v>
      </c>
      <c r="B185" s="128">
        <f t="shared" ref="B185:L185" si="12">SUM(B2:B13)</f>
        <v>223810497</v>
      </c>
      <c r="C185" s="128">
        <f t="shared" si="12"/>
        <v>56256331</v>
      </c>
      <c r="D185" s="128">
        <f t="shared" si="12"/>
        <v>21378171</v>
      </c>
      <c r="E185" s="128">
        <f t="shared" si="12"/>
        <v>53917199</v>
      </c>
      <c r="F185" s="128">
        <f t="shared" si="12"/>
        <v>584673</v>
      </c>
      <c r="G185" s="128">
        <f t="shared" si="12"/>
        <v>410</v>
      </c>
      <c r="H185" s="128">
        <f t="shared" si="12"/>
        <v>2862939</v>
      </c>
      <c r="I185" s="128">
        <f t="shared" si="12"/>
        <v>403259</v>
      </c>
      <c r="J185" s="128">
        <f t="shared" si="12"/>
        <v>2772447</v>
      </c>
      <c r="K185" s="128">
        <f t="shared" si="12"/>
        <v>19762143</v>
      </c>
      <c r="L185" s="128">
        <f t="shared" si="12"/>
        <v>381748069</v>
      </c>
    </row>
    <row r="186" spans="1:13" x14ac:dyDescent="0.35">
      <c r="A186" s="18">
        <v>2011</v>
      </c>
      <c r="B186" s="128">
        <f t="shared" ref="B186:L186" si="13">SUM(B14:B25)</f>
        <v>247386592</v>
      </c>
      <c r="C186" s="128">
        <f t="shared" si="13"/>
        <v>58583178</v>
      </c>
      <c r="D186" s="128">
        <f t="shared" si="13"/>
        <v>23598894</v>
      </c>
      <c r="E186" s="128">
        <f t="shared" si="13"/>
        <v>59635024</v>
      </c>
      <c r="F186" s="128">
        <f t="shared" si="13"/>
        <v>1303643</v>
      </c>
      <c r="G186" s="128">
        <f t="shared" si="13"/>
        <v>21093</v>
      </c>
      <c r="H186" s="128">
        <f t="shared" si="13"/>
        <v>2702102</v>
      </c>
      <c r="I186" s="128">
        <f t="shared" si="13"/>
        <v>2500000</v>
      </c>
      <c r="J186" s="128">
        <f t="shared" si="13"/>
        <v>2690428</v>
      </c>
      <c r="K186" s="128">
        <f t="shared" si="13"/>
        <v>16935638</v>
      </c>
      <c r="L186" s="128">
        <f t="shared" si="13"/>
        <v>415356592</v>
      </c>
    </row>
    <row r="187" spans="1:13" x14ac:dyDescent="0.35">
      <c r="A187" s="18">
        <v>2012</v>
      </c>
      <c r="B187" s="128">
        <f t="shared" ref="B187:L187" si="14">SUM(B26:B37)</f>
        <v>268769725</v>
      </c>
      <c r="C187" s="128">
        <f t="shared" si="14"/>
        <v>61860486</v>
      </c>
      <c r="D187" s="128">
        <f t="shared" si="14"/>
        <v>21186004</v>
      </c>
      <c r="E187" s="128">
        <f t="shared" si="14"/>
        <v>68002036</v>
      </c>
      <c r="F187" s="128">
        <f t="shared" si="14"/>
        <v>1236122</v>
      </c>
      <c r="G187" s="128">
        <f t="shared" si="14"/>
        <v>47768</v>
      </c>
      <c r="H187" s="128">
        <f t="shared" si="14"/>
        <v>2991688</v>
      </c>
      <c r="I187" s="128">
        <f t="shared" si="14"/>
        <v>35500</v>
      </c>
      <c r="J187" s="128">
        <f t="shared" si="14"/>
        <v>2801850</v>
      </c>
      <c r="K187" s="128">
        <f t="shared" si="14"/>
        <v>20172996</v>
      </c>
      <c r="L187" s="128">
        <f t="shared" si="14"/>
        <v>447104175</v>
      </c>
      <c r="M187" s="210"/>
    </row>
    <row r="188" spans="1:13" x14ac:dyDescent="0.35">
      <c r="A188" s="18">
        <v>2013</v>
      </c>
      <c r="B188" s="128">
        <f t="shared" ref="B188:L188" si="15">SUM(B38:B49)</f>
        <v>300647265</v>
      </c>
      <c r="C188" s="128">
        <f t="shared" si="15"/>
        <v>67402427</v>
      </c>
      <c r="D188" s="128">
        <f t="shared" si="15"/>
        <v>21508081</v>
      </c>
      <c r="E188" s="128">
        <f t="shared" si="15"/>
        <v>67441602</v>
      </c>
      <c r="F188" s="128">
        <f t="shared" si="15"/>
        <v>1030967</v>
      </c>
      <c r="G188" s="128">
        <f t="shared" si="15"/>
        <v>59612</v>
      </c>
      <c r="H188" s="128">
        <f t="shared" si="15"/>
        <v>3857315</v>
      </c>
      <c r="I188" s="128">
        <f t="shared" si="15"/>
        <v>46889</v>
      </c>
      <c r="J188" s="128">
        <f t="shared" si="15"/>
        <v>2613345</v>
      </c>
      <c r="K188" s="128">
        <f t="shared" si="15"/>
        <v>19324290</v>
      </c>
      <c r="L188" s="128">
        <f t="shared" si="15"/>
        <v>483931793</v>
      </c>
      <c r="M188" s="211"/>
    </row>
    <row r="189" spans="1:13" x14ac:dyDescent="0.35">
      <c r="A189" s="18">
        <v>2014</v>
      </c>
      <c r="B189" s="128">
        <f t="shared" ref="B189:L189" si="16">SUM(B50:B61)</f>
        <v>323052600</v>
      </c>
      <c r="C189" s="128">
        <f t="shared" si="16"/>
        <v>66033012</v>
      </c>
      <c r="D189" s="128">
        <f t="shared" si="16"/>
        <v>21399396</v>
      </c>
      <c r="E189" s="128">
        <f t="shared" si="16"/>
        <v>63286365</v>
      </c>
      <c r="F189" s="128">
        <f t="shared" si="16"/>
        <v>1375922</v>
      </c>
      <c r="G189" s="128">
        <f t="shared" si="16"/>
        <v>85100</v>
      </c>
      <c r="H189" s="128">
        <f t="shared" si="16"/>
        <v>3290133</v>
      </c>
      <c r="I189" s="128">
        <f t="shared" si="16"/>
        <v>255209</v>
      </c>
      <c r="J189" s="128">
        <f t="shared" si="16"/>
        <v>2655450</v>
      </c>
      <c r="K189" s="128">
        <f t="shared" si="16"/>
        <v>18547989</v>
      </c>
      <c r="L189" s="128">
        <f t="shared" si="16"/>
        <v>499981176</v>
      </c>
    </row>
    <row r="190" spans="1:13" x14ac:dyDescent="0.35">
      <c r="A190" s="18">
        <v>2015</v>
      </c>
      <c r="B190" s="128">
        <f t="shared" ref="B190:L190" si="17">SUM(B62:B73)</f>
        <v>320155546.46999997</v>
      </c>
      <c r="C190" s="128">
        <f t="shared" si="17"/>
        <v>65178008.035999998</v>
      </c>
      <c r="D190" s="128">
        <f t="shared" si="17"/>
        <v>20886126.950000003</v>
      </c>
      <c r="E190" s="128">
        <f t="shared" si="17"/>
        <v>62770475.480000004</v>
      </c>
      <c r="F190" s="128">
        <f t="shared" si="17"/>
        <v>1122390.1399999999</v>
      </c>
      <c r="G190" s="128">
        <f t="shared" si="17"/>
        <v>23846</v>
      </c>
      <c r="H190" s="128">
        <f t="shared" si="17"/>
        <v>3455175.8699999996</v>
      </c>
      <c r="I190" s="128">
        <f t="shared" si="17"/>
        <v>165943.84</v>
      </c>
      <c r="J190" s="128">
        <f t="shared" si="17"/>
        <v>2161430.27</v>
      </c>
      <c r="K190" s="128">
        <f t="shared" si="17"/>
        <v>18085179.199999999</v>
      </c>
      <c r="L190" s="128">
        <f t="shared" si="17"/>
        <v>494004122.25599998</v>
      </c>
    </row>
    <row r="191" spans="1:13" x14ac:dyDescent="0.35">
      <c r="A191" s="18">
        <v>2016</v>
      </c>
      <c r="B191" s="128">
        <f t="shared" ref="B191:L191" si="18">SUM(B74:B85)</f>
        <v>289675067.62</v>
      </c>
      <c r="C191" s="128">
        <f t="shared" si="18"/>
        <v>76569898.75</v>
      </c>
      <c r="D191" s="128">
        <f t="shared" si="18"/>
        <v>20694624.740000002</v>
      </c>
      <c r="E191" s="128">
        <f t="shared" si="18"/>
        <v>70809548.039999992</v>
      </c>
      <c r="F191" s="128">
        <f t="shared" si="18"/>
        <v>975076.95000000007</v>
      </c>
      <c r="G191" s="128">
        <f t="shared" si="18"/>
        <v>76377</v>
      </c>
      <c r="H191" s="128">
        <f t="shared" si="18"/>
        <v>2429039.6100000003</v>
      </c>
      <c r="I191" s="128">
        <f t="shared" si="18"/>
        <v>9103220.9600000028</v>
      </c>
      <c r="J191" s="128">
        <f t="shared" si="18"/>
        <v>2024913.37</v>
      </c>
      <c r="K191" s="128">
        <f t="shared" si="18"/>
        <v>22385656.550000001</v>
      </c>
      <c r="L191" s="128">
        <f t="shared" si="18"/>
        <v>494743423.58999997</v>
      </c>
    </row>
    <row r="192" spans="1:13" x14ac:dyDescent="0.35">
      <c r="A192" s="18">
        <v>2017</v>
      </c>
      <c r="B192" s="128">
        <f t="shared" ref="B192:L192" si="19">SUM(B86:B97)</f>
        <v>316750669.35000002</v>
      </c>
      <c r="C192" s="128">
        <f t="shared" si="19"/>
        <v>68209188.030000001</v>
      </c>
      <c r="D192" s="128">
        <f t="shared" si="19"/>
        <v>21114819.210000001</v>
      </c>
      <c r="E192" s="128">
        <f t="shared" si="19"/>
        <v>70452794.010000005</v>
      </c>
      <c r="F192" s="128">
        <f t="shared" si="19"/>
        <v>980158.75</v>
      </c>
      <c r="G192" s="128">
        <f t="shared" si="19"/>
        <v>1246</v>
      </c>
      <c r="H192" s="128">
        <f t="shared" si="19"/>
        <v>2804924.97</v>
      </c>
      <c r="I192" s="128">
        <f t="shared" si="19"/>
        <v>527376.66999999993</v>
      </c>
      <c r="J192" s="128">
        <f t="shared" si="19"/>
        <v>1958287.57</v>
      </c>
      <c r="K192" s="128">
        <f t="shared" si="19"/>
        <v>17387070.579999998</v>
      </c>
      <c r="L192" s="128">
        <f t="shared" si="19"/>
        <v>500186535.13999999</v>
      </c>
    </row>
    <row r="193" spans="1:12" x14ac:dyDescent="0.35">
      <c r="A193" s="18">
        <v>2018</v>
      </c>
      <c r="B193" s="128">
        <f t="shared" ref="B193:L193" si="20">SUM(B98:B109)</f>
        <v>340297507.66000009</v>
      </c>
      <c r="C193" s="128">
        <f t="shared" si="20"/>
        <v>76914097.890000015</v>
      </c>
      <c r="D193" s="128">
        <f t="shared" si="20"/>
        <v>21954642.420000002</v>
      </c>
      <c r="E193" s="128">
        <f t="shared" si="20"/>
        <v>56247487.390000001</v>
      </c>
      <c r="F193" s="128">
        <f t="shared" si="20"/>
        <v>1038161.3400000001</v>
      </c>
      <c r="G193" s="128">
        <f t="shared" si="20"/>
        <v>489605.91000000003</v>
      </c>
      <c r="H193" s="128">
        <f t="shared" si="20"/>
        <v>3020794.3</v>
      </c>
      <c r="I193" s="128">
        <f t="shared" si="20"/>
        <v>2738268.23</v>
      </c>
      <c r="J193" s="128">
        <f t="shared" si="20"/>
        <v>2328562.9700000002</v>
      </c>
      <c r="K193" s="128">
        <f t="shared" si="20"/>
        <v>18171172.59</v>
      </c>
      <c r="L193" s="128">
        <f t="shared" si="20"/>
        <v>523200300.70000005</v>
      </c>
    </row>
    <row r="194" spans="1:12" x14ac:dyDescent="0.35">
      <c r="A194" s="18">
        <v>2019</v>
      </c>
      <c r="B194" s="128">
        <f t="shared" ref="B194:L194" si="21">SUM(B110:B121)</f>
        <v>339295230.63</v>
      </c>
      <c r="C194" s="128">
        <f t="shared" si="21"/>
        <v>87781725.23999998</v>
      </c>
      <c r="D194" s="128">
        <f t="shared" si="21"/>
        <v>21523561.539999999</v>
      </c>
      <c r="E194" s="128">
        <f t="shared" si="21"/>
        <v>57766444.289999999</v>
      </c>
      <c r="F194" s="128">
        <f t="shared" si="21"/>
        <v>1067096.49</v>
      </c>
      <c r="G194" s="128">
        <f t="shared" si="21"/>
        <v>426050.47000000003</v>
      </c>
      <c r="H194" s="128">
        <f t="shared" si="21"/>
        <v>3182122.52</v>
      </c>
      <c r="I194" s="128">
        <f t="shared" si="21"/>
        <v>1768981.3299999998</v>
      </c>
      <c r="J194" s="128">
        <f t="shared" si="21"/>
        <v>2694403.86</v>
      </c>
      <c r="K194" s="128">
        <f t="shared" si="21"/>
        <v>19599921.560000002</v>
      </c>
      <c r="L194" s="128">
        <f t="shared" si="21"/>
        <v>535105537.92999995</v>
      </c>
    </row>
    <row r="195" spans="1:12" x14ac:dyDescent="0.35">
      <c r="A195" s="18">
        <v>2020</v>
      </c>
      <c r="B195" s="128">
        <f t="shared" ref="B195:L195" si="22">SUM(B122:B133)</f>
        <v>325949461.09000003</v>
      </c>
      <c r="C195" s="128">
        <f t="shared" si="22"/>
        <v>91443711.139999986</v>
      </c>
      <c r="D195" s="128">
        <f t="shared" si="22"/>
        <v>19154545.130000003</v>
      </c>
      <c r="E195" s="128">
        <f t="shared" si="22"/>
        <v>52789864.350000001</v>
      </c>
      <c r="F195" s="128">
        <f t="shared" si="22"/>
        <v>471452.55000000005</v>
      </c>
      <c r="G195" s="128">
        <f t="shared" si="22"/>
        <v>82915.5</v>
      </c>
      <c r="H195" s="128">
        <f t="shared" si="22"/>
        <v>2909097.0199999996</v>
      </c>
      <c r="I195" s="128">
        <f t="shared" si="22"/>
        <v>1680999.34</v>
      </c>
      <c r="J195" s="128">
        <f t="shared" si="22"/>
        <v>2599410.1500000004</v>
      </c>
      <c r="K195" s="128">
        <f t="shared" si="22"/>
        <v>17632909.670000002</v>
      </c>
      <c r="L195" s="128">
        <f t="shared" si="22"/>
        <v>514714365.93999994</v>
      </c>
    </row>
    <row r="196" spans="1:12" x14ac:dyDescent="0.35">
      <c r="A196" s="18">
        <v>2021</v>
      </c>
      <c r="B196" s="128">
        <f t="shared" ref="B196:L196" si="23">SUM(B134:B145)</f>
        <v>406655100.19</v>
      </c>
      <c r="C196" s="128">
        <f t="shared" si="23"/>
        <v>106436342.73</v>
      </c>
      <c r="D196" s="128">
        <f t="shared" si="23"/>
        <v>18517773.450000003</v>
      </c>
      <c r="E196" s="128">
        <f t="shared" si="23"/>
        <v>58406353.880000003</v>
      </c>
      <c r="F196" s="128">
        <f t="shared" si="23"/>
        <v>642009.4</v>
      </c>
      <c r="G196" s="128">
        <f t="shared" si="23"/>
        <v>2481068.5299999989</v>
      </c>
      <c r="H196" s="128">
        <f t="shared" si="23"/>
        <v>2875658.55</v>
      </c>
      <c r="I196" s="128">
        <f t="shared" si="23"/>
        <v>388674.10000000021</v>
      </c>
      <c r="J196" s="128">
        <f t="shared" si="23"/>
        <v>3197904.1300000004</v>
      </c>
      <c r="K196" s="128">
        <f t="shared" si="23"/>
        <v>22737652.309999999</v>
      </c>
      <c r="L196" s="128">
        <f t="shared" si="23"/>
        <v>622338537.2700001</v>
      </c>
    </row>
    <row r="197" spans="1:12" x14ac:dyDescent="0.35">
      <c r="A197" s="18">
        <v>2022</v>
      </c>
      <c r="B197" s="128">
        <f t="shared" ref="B197:L197" si="24">SUM(B146:B157)</f>
        <v>411489333.53999996</v>
      </c>
      <c r="C197" s="128">
        <f t="shared" si="24"/>
        <v>119814999.15000001</v>
      </c>
      <c r="D197" s="128">
        <f t="shared" si="24"/>
        <v>25143415.84</v>
      </c>
      <c r="E197" s="128">
        <f t="shared" si="24"/>
        <v>68676168.270000011</v>
      </c>
      <c r="F197" s="128">
        <f t="shared" si="24"/>
        <v>674004.82</v>
      </c>
      <c r="G197" s="128">
        <f t="shared" si="24"/>
        <v>93167.08</v>
      </c>
      <c r="H197" s="128">
        <f t="shared" si="24"/>
        <v>2780362.9499999997</v>
      </c>
      <c r="I197" s="128">
        <f t="shared" si="24"/>
        <v>1882428.2400000002</v>
      </c>
      <c r="J197" s="128">
        <f t="shared" si="24"/>
        <v>3726108.5</v>
      </c>
      <c r="K197" s="128">
        <f t="shared" si="24"/>
        <v>19745550.73</v>
      </c>
      <c r="L197" s="128">
        <f t="shared" si="24"/>
        <v>654025539.12000012</v>
      </c>
    </row>
    <row r="198" spans="1:12" x14ac:dyDescent="0.35">
      <c r="A198" s="18">
        <v>2023</v>
      </c>
      <c r="B198" s="128">
        <f>SUM(B158:B169)</f>
        <v>429946059.79000002</v>
      </c>
      <c r="C198" s="128">
        <f>SUM(C158:C169)</f>
        <v>120914585.47999999</v>
      </c>
      <c r="D198" s="128">
        <f t="shared" ref="D198:L198" si="25">SUM(D158:D169)</f>
        <v>25881750.43</v>
      </c>
      <c r="E198" s="128">
        <f t="shared" si="25"/>
        <v>70252133.109999999</v>
      </c>
      <c r="F198" s="128">
        <f t="shared" si="25"/>
        <v>1936852.39</v>
      </c>
      <c r="G198" s="128">
        <f t="shared" si="25"/>
        <v>109504.06999999999</v>
      </c>
      <c r="H198" s="128">
        <f t="shared" si="25"/>
        <v>4151542.5900000003</v>
      </c>
      <c r="I198" s="128">
        <f t="shared" si="25"/>
        <v>2275592.7699999996</v>
      </c>
      <c r="J198" s="128">
        <f t="shared" si="25"/>
        <v>3642190.8100000005</v>
      </c>
      <c r="K198" s="128">
        <f t="shared" si="25"/>
        <v>17698124.800000001</v>
      </c>
      <c r="L198" s="127">
        <f t="shared" si="25"/>
        <v>676808336.24000001</v>
      </c>
    </row>
    <row r="199" spans="1:12" ht="15" thickBot="1" x14ac:dyDescent="0.4">
      <c r="A199" s="189" t="s">
        <v>12</v>
      </c>
      <c r="B199" s="198">
        <f>SUM(B170:B181)</f>
        <v>421182827.88999999</v>
      </c>
      <c r="C199" s="198">
        <f>SUM(C170:C181)</f>
        <v>117783498.47000003</v>
      </c>
      <c r="D199" s="198">
        <f t="shared" ref="D199:L199" si="26">SUM(D170:D181)</f>
        <v>27898471.450000007</v>
      </c>
      <c r="E199" s="198">
        <f t="shared" si="26"/>
        <v>82255360.489999995</v>
      </c>
      <c r="F199" s="198">
        <f t="shared" si="26"/>
        <v>531055.98</v>
      </c>
      <c r="G199" s="198">
        <f t="shared" si="26"/>
        <v>71348.239999999991</v>
      </c>
      <c r="H199" s="198">
        <f t="shared" si="26"/>
        <v>3850571.13</v>
      </c>
      <c r="I199" s="198">
        <f t="shared" si="26"/>
        <v>1724033.11</v>
      </c>
      <c r="J199" s="198">
        <f t="shared" si="26"/>
        <v>2809811.55</v>
      </c>
      <c r="K199" s="198">
        <f t="shared" si="26"/>
        <v>18681133.68</v>
      </c>
      <c r="L199" s="198">
        <f t="shared" si="26"/>
        <v>676788111.98999989</v>
      </c>
    </row>
    <row r="200" spans="1:12" ht="15" thickBot="1" x14ac:dyDescent="0.4">
      <c r="A200" s="16"/>
      <c r="B200" s="12"/>
      <c r="C200" s="12"/>
      <c r="D200" s="12"/>
      <c r="E200" s="12"/>
      <c r="F200" s="12"/>
      <c r="G200" s="12"/>
    </row>
    <row r="201" spans="1:12" ht="15" thickBot="1" x14ac:dyDescent="0.4">
      <c r="A201" s="87"/>
      <c r="B201" s="21" t="s">
        <v>248</v>
      </c>
      <c r="C201" s="88" t="s">
        <v>249</v>
      </c>
      <c r="D201" s="21" t="s">
        <v>250</v>
      </c>
      <c r="E201" s="88" t="s">
        <v>251</v>
      </c>
      <c r="F201" s="21" t="s">
        <v>252</v>
      </c>
      <c r="G201" s="88" t="s">
        <v>253</v>
      </c>
      <c r="H201" s="21" t="s">
        <v>254</v>
      </c>
      <c r="I201" s="88" t="s">
        <v>255</v>
      </c>
      <c r="J201" s="21" t="s">
        <v>256</v>
      </c>
      <c r="K201" s="88" t="s">
        <v>257</v>
      </c>
      <c r="L201" s="21" t="s">
        <v>258</v>
      </c>
    </row>
    <row r="202" spans="1:12" x14ac:dyDescent="0.35">
      <c r="A202" s="188" t="s">
        <v>11</v>
      </c>
      <c r="B202" s="91">
        <f>SUM(B158:B169)</f>
        <v>429946059.79000002</v>
      </c>
      <c r="C202" s="91">
        <f>SUM(C158:C169)</f>
        <v>120914585.47999999</v>
      </c>
      <c r="D202" s="91">
        <f t="shared" ref="D202:L202" si="27">SUM(D158:D169)</f>
        <v>25881750.43</v>
      </c>
      <c r="E202" s="91">
        <f t="shared" si="27"/>
        <v>70252133.109999999</v>
      </c>
      <c r="F202" s="91">
        <f t="shared" si="27"/>
        <v>1936852.39</v>
      </c>
      <c r="G202" s="91">
        <f t="shared" si="27"/>
        <v>109504.06999999999</v>
      </c>
      <c r="H202" s="91">
        <f t="shared" si="27"/>
        <v>4151542.5900000003</v>
      </c>
      <c r="I202" s="91">
        <f t="shared" si="27"/>
        <v>2275592.7699999996</v>
      </c>
      <c r="J202" s="91">
        <f t="shared" si="27"/>
        <v>3642190.8100000005</v>
      </c>
      <c r="K202" s="91">
        <f t="shared" si="27"/>
        <v>17698124.800000001</v>
      </c>
      <c r="L202" s="91">
        <f t="shared" si="27"/>
        <v>676808336.24000001</v>
      </c>
    </row>
    <row r="203" spans="1:12" x14ac:dyDescent="0.35">
      <c r="A203" s="188" t="s">
        <v>12</v>
      </c>
      <c r="B203" s="91">
        <f>SUM(B170:B181)</f>
        <v>421182827.88999999</v>
      </c>
      <c r="C203" s="91">
        <f>SUM(C170:C181)</f>
        <v>117783498.47000003</v>
      </c>
      <c r="D203" s="91">
        <f t="shared" ref="D203:L203" si="28">SUM(D170:D181)</f>
        <v>27898471.450000007</v>
      </c>
      <c r="E203" s="91">
        <f t="shared" si="28"/>
        <v>82255360.489999995</v>
      </c>
      <c r="F203" s="91">
        <f t="shared" si="28"/>
        <v>531055.98</v>
      </c>
      <c r="G203" s="91">
        <f t="shared" si="28"/>
        <v>71348.239999999991</v>
      </c>
      <c r="H203" s="91">
        <f t="shared" si="28"/>
        <v>3850571.13</v>
      </c>
      <c r="I203" s="91">
        <f t="shared" si="28"/>
        <v>1724033.11</v>
      </c>
      <c r="J203" s="91">
        <f t="shared" si="28"/>
        <v>2809811.55</v>
      </c>
      <c r="K203" s="91">
        <f t="shared" si="28"/>
        <v>18681133.68</v>
      </c>
      <c r="L203" s="91">
        <f t="shared" si="28"/>
        <v>676788111.98999989</v>
      </c>
    </row>
    <row r="204" spans="1:12" ht="29.5" thickBot="1" x14ac:dyDescent="0.4">
      <c r="A204" s="83" t="s">
        <v>28</v>
      </c>
      <c r="B204" s="92">
        <f>(B203-B202)/B202</f>
        <v>-2.0382165856526958E-2</v>
      </c>
      <c r="C204" s="89">
        <f t="shared" ref="C204:L204" si="29">(C203-C202)/C202</f>
        <v>-2.589503158424061E-2</v>
      </c>
      <c r="D204" s="92">
        <f t="shared" si="29"/>
        <v>7.7920580582617374E-2</v>
      </c>
      <c r="E204" s="89">
        <f t="shared" si="29"/>
        <v>0.17085925862500825</v>
      </c>
      <c r="F204" s="92">
        <f t="shared" si="29"/>
        <v>-0.72581494452450246</v>
      </c>
      <c r="G204" s="89">
        <f t="shared" si="29"/>
        <v>-0.34844211726559576</v>
      </c>
      <c r="H204" s="92">
        <f t="shared" si="29"/>
        <v>-7.2496295888897624E-2</v>
      </c>
      <c r="I204" s="89">
        <f t="shared" si="29"/>
        <v>-0.24238065231680253</v>
      </c>
      <c r="J204" s="92">
        <f t="shared" si="29"/>
        <v>-0.22853807046973484</v>
      </c>
      <c r="K204" s="89">
        <f t="shared" si="29"/>
        <v>5.5543109290313003E-2</v>
      </c>
      <c r="L204" s="92">
        <f t="shared" si="29"/>
        <v>-2.9881798017552163E-5</v>
      </c>
    </row>
    <row r="205" spans="1:12" ht="15" thickBot="1" x14ac:dyDescent="0.4">
      <c r="A205" s="16"/>
      <c r="B205" s="12"/>
      <c r="C205" s="12"/>
      <c r="D205" s="12"/>
      <c r="E205" s="12"/>
      <c r="F205" s="12"/>
      <c r="G205" s="12"/>
    </row>
    <row r="206" spans="1:12" ht="15" thickBot="1" x14ac:dyDescent="0.4">
      <c r="A206" s="87"/>
      <c r="B206" s="21" t="s">
        <v>248</v>
      </c>
      <c r="C206" s="88" t="s">
        <v>249</v>
      </c>
      <c r="D206" s="21" t="s">
        <v>250</v>
      </c>
      <c r="E206" s="88" t="s">
        <v>251</v>
      </c>
      <c r="F206" s="21" t="s">
        <v>252</v>
      </c>
      <c r="G206" s="88" t="s">
        <v>253</v>
      </c>
      <c r="H206" s="21" t="s">
        <v>254</v>
      </c>
      <c r="I206" s="88" t="s">
        <v>255</v>
      </c>
      <c r="J206" s="21" t="s">
        <v>256</v>
      </c>
      <c r="K206" s="24" t="s">
        <v>257</v>
      </c>
      <c r="L206" s="21" t="s">
        <v>258</v>
      </c>
    </row>
    <row r="207" spans="1:12" ht="29" x14ac:dyDescent="0.35">
      <c r="A207" s="84" t="s">
        <v>17</v>
      </c>
      <c r="B207" s="91">
        <f>B169</f>
        <v>31861388.18</v>
      </c>
      <c r="C207" s="91">
        <f>C169</f>
        <v>9420220.0399999991</v>
      </c>
      <c r="D207" s="91">
        <f t="shared" ref="D207:L207" si="30">D169</f>
        <v>2104332.77</v>
      </c>
      <c r="E207" s="91">
        <f t="shared" si="30"/>
        <v>5427279.8499999996</v>
      </c>
      <c r="F207" s="91">
        <f t="shared" si="30"/>
        <v>272687.7</v>
      </c>
      <c r="G207" s="91">
        <f t="shared" si="30"/>
        <v>25813.98</v>
      </c>
      <c r="H207" s="91">
        <f t="shared" si="30"/>
        <v>42617.49</v>
      </c>
      <c r="I207" s="91">
        <f t="shared" si="30"/>
        <v>151893.82</v>
      </c>
      <c r="J207" s="91">
        <f t="shared" si="30"/>
        <v>398626.03</v>
      </c>
      <c r="K207" s="91">
        <f t="shared" si="30"/>
        <v>1425638.42</v>
      </c>
      <c r="L207" s="91">
        <f t="shared" si="30"/>
        <v>51130498.280000009</v>
      </c>
    </row>
    <row r="208" spans="1:12" ht="29" x14ac:dyDescent="0.35">
      <c r="A208" s="84" t="s">
        <v>18</v>
      </c>
      <c r="B208" s="91">
        <f>B181</f>
        <v>35748883.909999996</v>
      </c>
      <c r="C208" s="91">
        <f>C181</f>
        <v>9081337.7899999991</v>
      </c>
      <c r="D208" s="91">
        <f t="shared" ref="D208:L208" si="31">D181</f>
        <v>2222299.6</v>
      </c>
      <c r="E208" s="91">
        <f t="shared" si="31"/>
        <v>5868790.3300000001</v>
      </c>
      <c r="F208" s="91">
        <f t="shared" si="31"/>
        <v>17243.03</v>
      </c>
      <c r="G208" s="91">
        <f t="shared" si="31"/>
        <v>5261.75</v>
      </c>
      <c r="H208" s="91">
        <f t="shared" si="31"/>
        <v>61349.69</v>
      </c>
      <c r="I208" s="91">
        <f t="shared" si="31"/>
        <v>106247.61</v>
      </c>
      <c r="J208" s="91">
        <f t="shared" si="31"/>
        <v>237158.51</v>
      </c>
      <c r="K208" s="91">
        <f t="shared" si="31"/>
        <v>1656659.2</v>
      </c>
      <c r="L208" s="91">
        <f t="shared" si="31"/>
        <v>55005231.419999994</v>
      </c>
    </row>
    <row r="209" spans="1:12" ht="29.5" thickBot="1" x14ac:dyDescent="0.4">
      <c r="A209" s="83" t="s">
        <v>28</v>
      </c>
      <c r="B209" s="92">
        <f>(B208-B207)/B207</f>
        <v>0.12201275437334058</v>
      </c>
      <c r="C209" s="89">
        <f t="shared" ref="C209:L209" si="32">(C208-C207)/C207</f>
        <v>-3.5973920838477572E-2</v>
      </c>
      <c r="D209" s="92">
        <f t="shared" si="32"/>
        <v>5.6059018650363023E-2</v>
      </c>
      <c r="E209" s="89">
        <f t="shared" si="32"/>
        <v>8.135023293482839E-2</v>
      </c>
      <c r="F209" s="92">
        <f t="shared" si="32"/>
        <v>-0.93676638146861779</v>
      </c>
      <c r="G209" s="89">
        <f>(G208-G207)/G207</f>
        <v>-0.79616665078380011</v>
      </c>
      <c r="H209" s="92">
        <f>(H208-H207)/H207</f>
        <v>0.4395425446219382</v>
      </c>
      <c r="I209" s="89">
        <f>(I208-I207)/I207</f>
        <v>-0.30051393796008291</v>
      </c>
      <c r="J209" s="92">
        <f t="shared" ref="J209" si="33">(J208-J207)/J207</f>
        <v>-0.40506015123999806</v>
      </c>
      <c r="K209" s="89">
        <f t="shared" si="32"/>
        <v>0.1620472461734021</v>
      </c>
      <c r="L209" s="92">
        <f t="shared" si="32"/>
        <v>7.5781251314650494E-2</v>
      </c>
    </row>
  </sheetData>
  <pageMargins left="0.7" right="0.7" top="0.75" bottom="0.75" header="0.3" footer="0.3"/>
  <pageSetup orientation="portrait" r:id="rId1"/>
  <ignoredErrors>
    <ignoredError sqref="L2:L98 L99:L101 L103:L104 L106:L109 L110 L113:L121 B185:K196 L122:L146 L147:L157 B197:L197"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92B24EB8A70F43BAA49D24C17BC0A6" ma:contentTypeVersion="15" ma:contentTypeDescription="Create a new document." ma:contentTypeScope="" ma:versionID="19544d4ae51cd583efdc17f69117c27a">
  <xsd:schema xmlns:xsd="http://www.w3.org/2001/XMLSchema" xmlns:xs="http://www.w3.org/2001/XMLSchema" xmlns:p="http://schemas.microsoft.com/office/2006/metadata/properties" xmlns:ns2="035a96ff-1853-4a85-a81b-9285d67b5111" xmlns:ns3="e64c422d-c2aa-4847-810a-5dfb93f5a71d" targetNamespace="http://schemas.microsoft.com/office/2006/metadata/properties" ma:root="true" ma:fieldsID="490e5a6c065bfe2dcf835e1d97811e1e" ns2:_="" ns3:_="">
    <xsd:import namespace="035a96ff-1853-4a85-a81b-9285d67b5111"/>
    <xsd:import namespace="e64c422d-c2aa-4847-810a-5dfb93f5a7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a96ff-1853-4a85-a81b-9285d67b51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2065ff1-93ab-4f24-9fcf-e5801d25c01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4c422d-c2aa-4847-810a-5dfb93f5a71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9bf956c-3fac-47f0-a245-9106d72ef1d7}" ma:internalName="TaxCatchAll" ma:showField="CatchAllData" ma:web="e64c422d-c2aa-4847-810a-5dfb93f5a71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4c422d-c2aa-4847-810a-5dfb93f5a71d" xsi:nil="true"/>
    <lcf76f155ced4ddcb4097134ff3c332f xmlns="035a96ff-1853-4a85-a81b-9285d67b511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FD2906-FB81-4C19-9613-111F015916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a96ff-1853-4a85-a81b-9285d67b5111"/>
    <ds:schemaRef ds:uri="e64c422d-c2aa-4847-810a-5dfb93f5a7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FACBBA-B0B3-40CB-AF2D-F68687CA7E2E}">
  <ds:schemaRefs>
    <ds:schemaRef ds:uri="http://schemas.microsoft.com/sharepoint/v3/contenttype/forms"/>
  </ds:schemaRefs>
</ds:datastoreItem>
</file>

<file path=customXml/itemProps3.xml><?xml version="1.0" encoding="utf-8"?>
<ds:datastoreItem xmlns:ds="http://schemas.openxmlformats.org/officeDocument/2006/customXml" ds:itemID="{1BC9D889-B1E8-4643-AC72-9A6231E5293C}">
  <ds:schemaRefs>
    <ds:schemaRef ds:uri="http://schemas.microsoft.com/office/2006/metadata/properties"/>
    <ds:schemaRef ds:uri="http://schemas.microsoft.com/office/infopath/2007/PartnerControls"/>
    <ds:schemaRef ds:uri="e64c422d-c2aa-4847-810a-5dfb93f5a71d"/>
    <ds:schemaRef ds:uri="035a96ff-1853-4a85-a81b-9285d67b51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Lafayette Parish Retail Sales</vt:lpstr>
      <vt:lpstr>City of Lafayette by Category</vt:lpstr>
      <vt:lpstr>Pastelinks</vt:lpstr>
      <vt:lpstr>Category Descriptions</vt:lpstr>
      <vt:lpstr>Source</vt:lpstr>
      <vt:lpstr>Food - City</vt:lpstr>
      <vt:lpstr>Apparel - City</vt:lpstr>
      <vt:lpstr>Gen. Merchandise - City</vt:lpstr>
      <vt:lpstr>Automotive - City</vt:lpstr>
      <vt:lpstr>Home Furnishings - City</vt:lpstr>
      <vt:lpstr>Building Materials - City</vt:lpstr>
      <vt:lpstr>Services - City</vt:lpstr>
      <vt:lpstr>Manufacturing - City</vt:lpstr>
      <vt:lpstr>Utilities - City</vt:lpstr>
      <vt:lpstr>Miscellaneous - City</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 Segura</dc:creator>
  <cp:keywords/>
  <dc:description/>
  <cp:lastModifiedBy>Sarah Choi</cp:lastModifiedBy>
  <cp:revision/>
  <dcterms:created xsi:type="dcterms:W3CDTF">2015-08-26T14:35:06Z</dcterms:created>
  <dcterms:modified xsi:type="dcterms:W3CDTF">2025-02-18T20:39:13Z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0x0101006D92B24EB8A70F43BAA49D24C17BC0A6</vt:lpwstr>
  </property>
  <property fmtid="{D5CDD505-2E9C-101B-9397-08002B2CF9AE}" pid="3" name="Order">
    <vt:r8>1355600</vt:r8>
  </property>
  <property fmtid="{D5CDD505-2E9C-101B-9397-08002B2CF9AE}" pid="4" name="MediaServiceImageTags">
    <vt:lpwstr/>
  </property>
</Properties>
</file>